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  <sheet name="cashflow.org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>'cashflow.org'!$G$14:$G$16</definedName>
    <definedName name="_xlnm.Print_Area" localSheetId="8">'cashflow.org'!$B$1:$K$81</definedName>
    <definedName name="_xlnm.Print_Area" localSheetId="3">'equity statement'!$A$1:$J$37</definedName>
    <definedName name="_xlnm.Print_Area" localSheetId="0">'Income statement'!$A$1:$R$66</definedName>
  </definedNames>
  <calcPr fullCalcOnLoad="1"/>
</workbook>
</file>

<file path=xl/sharedStrings.xml><?xml version="1.0" encoding="utf-8"?>
<sst xmlns="http://schemas.openxmlformats.org/spreadsheetml/2006/main" count="499" uniqueCount="288">
  <si>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</si>
  <si>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</si>
  <si>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</si>
  <si>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</si>
  <si>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</si>
  <si>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</si>
  <si>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</si>
  <si>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</si>
  <si>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</si>
  <si>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</si>
  <si>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</si>
  <si>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</si>
  <si>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</si>
  <si>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</si>
  <si>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</si>
  <si>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</si>
  <si>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</si>
  <si>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</si>
  <si>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</si>
  <si>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</si>
  <si>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</si>
  <si>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</si>
  <si>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</si>
  <si>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</si>
  <si>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</si>
  <si>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</si>
  <si>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</si>
  <si>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</si>
  <si>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</si>
  <si>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</si>
  <si>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</si>
  <si>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</si>
  <si>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</si>
  <si>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</si>
  <si>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</si>
  <si>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</si>
  <si>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</si>
  <si>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</si>
  <si>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</si>
  <si>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</si>
  <si>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</si>
  <si>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</si>
  <si>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</si>
  <si>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</si>
  <si>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</si>
  <si>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</si>
  <si>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</si>
  <si>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</si>
  <si>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</si>
  <si>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</si>
  <si>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</si>
  <si>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</si>
  <si>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</si>
  <si>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</si>
  <si>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</si>
  <si>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</si>
  <si>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</si>
  <si>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</si>
  <si>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</si>
  <si>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</si>
  <si>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</si>
  <si>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</si>
  <si>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</si>
  <si>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</si>
  <si>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</si>
  <si>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</si>
  <si>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</si>
  <si>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</si>
  <si>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</si>
  <si>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</si>
  <si>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</si>
  <si>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</si>
  <si>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</si>
  <si>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</si>
  <si>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</si>
  <si>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</si>
  <si>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</si>
  <si>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</si>
  <si>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</si>
  <si>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</si>
  <si>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</si>
  <si>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</si>
  <si>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</si>
  <si>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</si>
  <si>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</si>
  <si>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</si>
  <si>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</si>
  <si>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</si>
  <si>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</si>
  <si>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</si>
  <si>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</si>
  <si>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</si>
  <si>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</si>
  <si>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</si>
  <si>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</si>
  <si>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</si>
  <si>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</si>
  <si>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</si>
  <si>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</si>
  <si>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</si>
  <si>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</si>
  <si>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</si>
  <si>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</si>
  <si>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</si>
  <si>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</si>
  <si>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</si>
  <si>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</si>
  <si>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</si>
  <si>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</si>
  <si>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</si>
  <si>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</si>
  <si>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</si>
  <si>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</si>
  <si>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</si>
  <si>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</si>
  <si>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</si>
  <si>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</si>
  <si>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</si>
  <si>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</si>
  <si>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</si>
  <si>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</si>
  <si>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</si>
  <si>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</si>
  <si>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</si>
  <si>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</si>
  <si>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</si>
  <si>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</si>
  <si>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</si>
  <si>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</si>
  <si>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</si>
  <si>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</si>
  <si>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</si>
  <si>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</si>
  <si>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</si>
  <si>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</si>
  <si>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</si>
  <si>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</si>
  <si>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</si>
  <si>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</si>
  <si>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</si>
  <si>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</si>
  <si>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</si>
  <si>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</si>
  <si>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</si>
  <si>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</si>
  <si>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</si>
  <si>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</si>
  <si>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</si>
  <si>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</si>
  <si>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</si>
  <si>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</si>
  <si>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</si>
  <si>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</si>
  <si>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</si>
  <si>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</si>
  <si>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</si>
  <si>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</si>
  <si>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</si>
  <si>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</si>
  <si>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</si>
  <si>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</si>
  <si>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</si>
  <si>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</si>
  <si>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</si>
  <si>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</si>
  <si>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</si>
  <si>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</si>
  <si>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</si>
  <si>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</si>
  <si>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</si>
  <si>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</si>
  <si>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</si>
  <si>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</si>
  <si>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</si>
  <si>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</si>
  <si>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</si>
  <si>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</si>
  <si>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</si>
  <si>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</si>
  <si>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</si>
  <si>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</si>
  <si>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</si>
  <si>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</si>
  <si>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</si>
  <si>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</si>
  <si>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</si>
  <si>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</si>
  <si>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</si>
  <si>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</si>
  <si>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</si>
  <si>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</si>
  <si>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</si>
  <si>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</si>
  <si>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</si>
  <si>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</si>
  <si>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</si>
  <si>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</si>
  <si>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</si>
  <si>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</si>
  <si>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</si>
  <si>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</si>
  <si>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</si>
  <si>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</si>
  <si>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</si>
  <si>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</si>
  <si>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</si>
  <si>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</si>
  <si>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</si>
  <si>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</si>
  <si>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</si>
  <si>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</si>
  <si>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</si>
  <si>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</si>
  <si>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</si>
  <si>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</si>
  <si>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</si>
  <si>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</si>
  <si>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</si>
  <si>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</si>
  <si>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</si>
  <si>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</si>
  <si>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</si>
  <si>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</si>
  <si>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</si>
  <si>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</si>
  <si>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</si>
  <si>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</si>
  <si>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</si>
  <si>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</si>
  <si>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</si>
  <si>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</si>
  <si>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</si>
  <si>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</si>
  <si>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</si>
  <si>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</si>
  <si>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</si>
  <si>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</si>
  <si>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divided  by the number of ordinary shares in issue as at Balance Sheet date.</t>
  </si>
  <si>
    <t>31 March 2012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</si>
  <si>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</si>
  <si>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</si>
  <si>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</si>
  <si>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</si>
  <si>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</si>
  <si>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</si>
  <si>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Treasury shares</t>
  </si>
  <si>
    <t>30 September 2012</t>
  </si>
  <si>
    <t>30 June 2012</t>
  </si>
  <si>
    <t>Treasury Shares</t>
  </si>
  <si>
    <t>Dividend paid</t>
  </si>
  <si>
    <t>Purchase of Treasury Shares</t>
  </si>
  <si>
    <t>Deferred Tax Asset</t>
  </si>
  <si>
    <t>Profit/(loss)  before taxation</t>
  </si>
  <si>
    <t>Profit /(loss)after tax for the period</t>
  </si>
  <si>
    <t>Profit/(loss) attributable to:</t>
  </si>
  <si>
    <t>statements for the financial year ended 31 December 2012 and the accompanying notes attached to this interim financial report.</t>
  </si>
  <si>
    <t>Interest received</t>
  </si>
  <si>
    <t>Currency translation difference</t>
  </si>
  <si>
    <t>Tax recoverable</t>
  </si>
  <si>
    <t>Investment in a jointly controlled entity</t>
  </si>
  <si>
    <t>Total comprehensive income/(loss) for the period</t>
  </si>
  <si>
    <t>30 June 2013</t>
  </si>
  <si>
    <t>FOR THE FINANCIAL YEAR ENDED 30 JUNE 2013</t>
  </si>
  <si>
    <t>Period Ended                             30 June 2013</t>
  </si>
  <si>
    <t>Preceding year Corresponding                Period                                         30 June 2012</t>
  </si>
  <si>
    <t>Proceeds from disposal of property, plant and equipment</t>
  </si>
  <si>
    <t>Acquisition of intangible assets</t>
  </si>
  <si>
    <t>Proceeds from disposal of financial assets hold for trading</t>
  </si>
  <si>
    <t>Liquidate/(Placement )of fixed deposits</t>
  </si>
  <si>
    <t>31 March 2013</t>
  </si>
  <si>
    <t>30 September 2013</t>
  </si>
  <si>
    <t>Sales of Treasury Shares</t>
  </si>
  <si>
    <t>31 December 2013</t>
  </si>
  <si>
    <t>Payment of term loan Interest</t>
  </si>
  <si>
    <t>Sales/(purchase) of Treasury Shares</t>
  </si>
  <si>
    <t>Advance progress claim from customer</t>
  </si>
  <si>
    <t>Amount due to customers for contract works</t>
  </si>
  <si>
    <t>FOR THE FIRST QUARTER ENDED 31 MARCH 2014</t>
  </si>
  <si>
    <t>31 March 2014</t>
  </si>
  <si>
    <t>statements for the financial year ended 31 December 2013 and the accompanying notes attached to this interim financial report.</t>
  </si>
  <si>
    <t>AS AT 31 MARCH 2014</t>
  </si>
  <si>
    <t xml:space="preserve"> for the financial year ended 31 December 2013 and the accompanying notes attached to this interim financial report.</t>
  </si>
  <si>
    <t>Balance as at 1 Jan 2014</t>
  </si>
  <si>
    <t>Balance as at 31 March 2014</t>
  </si>
  <si>
    <t>FOR THE FINANCIAL YEAR ENDED 31 MARCH 2014</t>
  </si>
  <si>
    <t>Period Ended                             31 March 2014</t>
  </si>
  <si>
    <t>Preceding year Corresponding                Period                                         31 March 2013</t>
  </si>
  <si>
    <t>Tax refunded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</si>
</sst>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\ ???/???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#,##0.000"/>
    <numFmt numFmtId="183" formatCode="0_);\(0\)"/>
    <numFmt numFmtId="184" formatCode="00000"/>
    <numFmt numFmtId="185" formatCode="0.0"/>
    <numFmt numFmtId="186" formatCode="0.E+00"/>
    <numFmt numFmtId="187" formatCode="000\-00\-0000"/>
    <numFmt numFmtId="188" formatCode="_(* #,##0.0_);_(* \(#,##0.0\);_(* &quot;-&quot;_);_(@_)"/>
    <numFmt numFmtId="189" formatCode="_(* #,##0.00_);_(* \(#,##0.00\);_(* &quot;-&quot;_);_(@_)"/>
    <numFmt numFmtId="190" formatCode="#,##0.0_);\(#,##0.0\)"/>
    <numFmt numFmtId="191" formatCode="#,##0.000_);\(#,##0.000\)"/>
    <numFmt numFmtId="192" formatCode="#,##0.0000_);\(#,##0.0000\)"/>
    <numFmt numFmtId="193" formatCode="#,##0.00000_);\(#,##0.00000\)"/>
    <numFmt numFmtId="194" formatCode="#,##0.000000_);\(#,##0.000000\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_(* #,##0.000000_);_(* \(#,##0.000000\);_(* &quot;-&quot;_);_(@_)"/>
    <numFmt numFmtId="203" formatCode="_(* #,##0.0000000_);_(* \(#,##0.0000000\);_(* &quot;-&quot;_);_(@_)"/>
    <numFmt numFmtId="204" formatCode="_(* #,##0.00000000_);_(* \(#,##0.00000000\);_(* &quot;-&quot;_);_(@_)"/>
    <numFmt numFmtId="205" formatCode="_(* #,##0.000000000_);_(* \(#,##0.000000000\);_(* &quot;-&quot;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9]dddd\,\ mmmm\ dd\,\ yyyy"/>
    <numFmt numFmtId="211" formatCode="[$-409]d/mmm/yyyy;@"/>
    <numFmt numFmtId="212" formatCode="[$-409]h:mm:ss\ AM/PM"/>
    <numFmt numFmtId="213" formatCode="#,##0;[Red]#,##0"/>
  </numFmts>
  <fonts count="9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6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71" fontId="0" fillId="0" borderId="0" xfId="42" applyFont="1" applyAlignment="1">
      <alignment horizontal="center"/>
    </xf>
    <xf numFmtId="171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80" fontId="5" fillId="0" borderId="0" xfId="42" applyNumberFormat="1" applyFont="1" applyAlignment="1">
      <alignment horizontal="right" vertical="top" wrapText="1"/>
    </xf>
    <xf numFmtId="180" fontId="5" fillId="0" borderId="10" xfId="42" applyNumberFormat="1" applyFont="1" applyBorder="1" applyAlignment="1">
      <alignment horizontal="right" vertical="top" wrapText="1"/>
    </xf>
    <xf numFmtId="180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80" fontId="5" fillId="0" borderId="10" xfId="42" applyNumberFormat="1" applyFont="1" applyBorder="1" applyAlignment="1">
      <alignment vertical="top" wrapText="1"/>
    </xf>
    <xf numFmtId="180" fontId="5" fillId="0" borderId="12" xfId="42" applyNumberFormat="1" applyFont="1" applyBorder="1" applyAlignment="1">
      <alignment horizontal="right" vertical="top" wrapText="1"/>
    </xf>
    <xf numFmtId="180" fontId="5" fillId="0" borderId="0" xfId="42" applyNumberFormat="1" applyFont="1" applyBorder="1" applyAlignment="1">
      <alignment horizontal="right" vertical="top" wrapText="1"/>
    </xf>
    <xf numFmtId="180" fontId="0" fillId="0" borderId="0" xfId="42" applyNumberFormat="1" applyFont="1" applyAlignment="1">
      <alignment horizontal="right" vertical="top" wrapText="1"/>
    </xf>
    <xf numFmtId="180" fontId="0" fillId="0" borderId="10" xfId="42" applyNumberFormat="1" applyFont="1" applyBorder="1" applyAlignment="1">
      <alignment horizontal="right" vertical="top" wrapText="1"/>
    </xf>
    <xf numFmtId="180" fontId="0" fillId="0" borderId="0" xfId="42" applyNumberFormat="1" applyFont="1" applyBorder="1" applyAlignment="1">
      <alignment horizontal="right" vertical="top" wrapText="1"/>
    </xf>
    <xf numFmtId="180" fontId="0" fillId="0" borderId="0" xfId="42" applyNumberFormat="1" applyFont="1" applyAlignment="1">
      <alignment/>
    </xf>
    <xf numFmtId="180" fontId="0" fillId="0" borderId="12" xfId="42" applyNumberFormat="1" applyFont="1" applyBorder="1" applyAlignment="1">
      <alignment horizontal="right" vertical="top" wrapText="1"/>
    </xf>
    <xf numFmtId="180" fontId="5" fillId="0" borderId="13" xfId="42" applyNumberFormat="1" applyFont="1" applyBorder="1" applyAlignment="1">
      <alignment horizontal="right" vertical="top" wrapText="1"/>
    </xf>
    <xf numFmtId="180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horizontal="justify" vertical="top" wrapText="1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80" fontId="0" fillId="0" borderId="14" xfId="0" applyNumberFormat="1" applyFont="1" applyBorder="1" applyAlignment="1">
      <alignment/>
    </xf>
    <xf numFmtId="0" fontId="77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80" fontId="4" fillId="0" borderId="0" xfId="42" applyNumberFormat="1" applyFont="1" applyAlignment="1">
      <alignment horizontal="right" vertical="top" wrapText="1"/>
    </xf>
    <xf numFmtId="180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80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5" fillId="0" borderId="0" xfId="42" applyNumberFormat="1" applyFont="1" applyAlignment="1">
      <alignment/>
    </xf>
    <xf numFmtId="180" fontId="5" fillId="0" borderId="0" xfId="0" applyNumberFormat="1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80" fontId="4" fillId="0" borderId="0" xfId="42" applyNumberFormat="1" applyFont="1" applyAlignment="1">
      <alignment horizontal="center" vertical="center"/>
    </xf>
    <xf numFmtId="180" fontId="4" fillId="0" borderId="12" xfId="42" applyNumberFormat="1" applyFont="1" applyBorder="1" applyAlignment="1">
      <alignment horizontal="right" vertical="top" wrapText="1"/>
    </xf>
    <xf numFmtId="180" fontId="4" fillId="0" borderId="0" xfId="42" applyNumberFormat="1" applyFont="1" applyBorder="1" applyAlignment="1">
      <alignment horizontal="right" vertical="top" wrapText="1"/>
    </xf>
    <xf numFmtId="180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180" fontId="6" fillId="33" borderId="0" xfId="42" applyNumberFormat="1" applyFont="1" applyFill="1" applyAlignment="1">
      <alignment/>
    </xf>
    <xf numFmtId="180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80" fontId="5" fillId="0" borderId="10" xfId="42" applyNumberFormat="1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0" fontId="56" fillId="0" borderId="0" xfId="57">
      <alignment/>
      <protection/>
    </xf>
    <xf numFmtId="0" fontId="83" fillId="0" borderId="0" xfId="57" applyFont="1">
      <alignment/>
      <protection/>
    </xf>
    <xf numFmtId="0" fontId="83" fillId="0" borderId="0" xfId="57" applyFont="1" applyAlignment="1">
      <alignment horizontal="right" vertical="top" wrapText="1"/>
      <protection/>
    </xf>
    <xf numFmtId="0" fontId="81" fillId="0" borderId="0" xfId="57" applyFont="1" applyAlignment="1">
      <alignment horizontal="right" vertical="top" wrapText="1"/>
      <protection/>
    </xf>
    <xf numFmtId="0" fontId="84" fillId="0" borderId="0" xfId="57" applyFont="1" applyAlignment="1">
      <alignment wrapText="1"/>
      <protection/>
    </xf>
    <xf numFmtId="0" fontId="81" fillId="0" borderId="0" xfId="57" applyFont="1">
      <alignment/>
      <protection/>
    </xf>
    <xf numFmtId="0" fontId="83" fillId="0" borderId="0" xfId="57" applyFont="1" applyAlignment="1">
      <alignment vertical="top" wrapText="1"/>
      <protection/>
    </xf>
    <xf numFmtId="0" fontId="81" fillId="0" borderId="0" xfId="57" applyFont="1" applyAlignment="1">
      <alignment vertical="top" wrapText="1"/>
      <protection/>
    </xf>
    <xf numFmtId="3" fontId="81" fillId="0" borderId="0" xfId="57" applyNumberFormat="1" applyFont="1" applyAlignment="1">
      <alignment horizontal="right" vertical="top" wrapText="1"/>
      <protection/>
    </xf>
    <xf numFmtId="3" fontId="81" fillId="0" borderId="10" xfId="57" applyNumberFormat="1" applyFont="1" applyBorder="1" applyAlignment="1">
      <alignment horizontal="right" vertical="top" wrapText="1"/>
      <protection/>
    </xf>
    <xf numFmtId="3" fontId="81" fillId="0" borderId="12" xfId="57" applyNumberFormat="1" applyFont="1" applyBorder="1" applyAlignment="1">
      <alignment horizontal="right" vertical="top" wrapText="1"/>
      <protection/>
    </xf>
    <xf numFmtId="0" fontId="84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80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80" fontId="4" fillId="0" borderId="0" xfId="42" applyNumberFormat="1" applyFont="1" applyBorder="1" applyAlignment="1">
      <alignment vertical="top" wrapText="1"/>
    </xf>
    <xf numFmtId="180" fontId="5" fillId="0" borderId="0" xfId="42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180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1" fontId="5" fillId="0" borderId="0" xfId="42" applyFont="1" applyBorder="1" applyAlignment="1">
      <alignment horizontal="right"/>
    </xf>
    <xf numFmtId="171" fontId="5" fillId="0" borderId="0" xfId="42" applyFont="1" applyAlignment="1">
      <alignment horizontal="center"/>
    </xf>
    <xf numFmtId="171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1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169" fontId="5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37" fontId="85" fillId="0" borderId="0" xfId="0" applyNumberFormat="1" applyFont="1" applyBorder="1" applyAlignment="1">
      <alignment horizontal="right"/>
    </xf>
    <xf numFmtId="37" fontId="85" fillId="0" borderId="0" xfId="0" applyNumberFormat="1" applyFont="1" applyAlignment="1">
      <alignment horizontal="right"/>
    </xf>
    <xf numFmtId="0" fontId="86" fillId="0" borderId="0" xfId="0" applyFont="1" applyFill="1" applyAlignment="1">
      <alignment vertical="top" wrapText="1"/>
    </xf>
    <xf numFmtId="180" fontId="87" fillId="0" borderId="0" xfId="42" applyNumberFormat="1" applyFont="1" applyFill="1" applyAlignment="1">
      <alignment horizontal="right" vertical="top" wrapText="1"/>
    </xf>
    <xf numFmtId="180" fontId="86" fillId="0" borderId="0" xfId="42" applyNumberFormat="1" applyFont="1" applyFill="1" applyAlignment="1">
      <alignment horizontal="right" vertical="top" wrapText="1"/>
    </xf>
    <xf numFmtId="180" fontId="87" fillId="0" borderId="0" xfId="42" applyNumberFormat="1" applyFont="1" applyFill="1" applyAlignment="1">
      <alignment/>
    </xf>
    <xf numFmtId="0" fontId="87" fillId="0" borderId="0" xfId="0" applyFont="1" applyFill="1" applyAlignment="1">
      <alignment/>
    </xf>
    <xf numFmtId="180" fontId="87" fillId="0" borderId="0" xfId="0" applyNumberFormat="1" applyFont="1" applyFill="1" applyAlignment="1">
      <alignment/>
    </xf>
    <xf numFmtId="180" fontId="5" fillId="0" borderId="0" xfId="42" applyNumberFormat="1" applyFont="1" applyFill="1" applyAlignment="1">
      <alignment horizontal="right" vertical="top" wrapText="1"/>
    </xf>
    <xf numFmtId="180" fontId="5" fillId="0" borderId="11" xfId="42" applyNumberFormat="1" applyFont="1" applyFill="1" applyBorder="1" applyAlignment="1">
      <alignment horizontal="right" vertical="top" wrapText="1"/>
    </xf>
    <xf numFmtId="180" fontId="4" fillId="0" borderId="0" xfId="42" applyNumberFormat="1" applyFont="1" applyFill="1" applyAlignment="1">
      <alignment horizontal="right" vertical="top" wrapText="1"/>
    </xf>
    <xf numFmtId="180" fontId="5" fillId="0" borderId="10" xfId="42" applyNumberFormat="1" applyFont="1" applyFill="1" applyBorder="1" applyAlignment="1">
      <alignment horizontal="right" vertical="top" wrapText="1"/>
    </xf>
    <xf numFmtId="180" fontId="4" fillId="0" borderId="10" xfId="42" applyNumberFormat="1" applyFont="1" applyFill="1" applyBorder="1" applyAlignment="1">
      <alignment horizontal="right" vertical="top" wrapText="1"/>
    </xf>
    <xf numFmtId="180" fontId="5" fillId="0" borderId="0" xfId="42" applyNumberFormat="1" applyFont="1" applyFill="1" applyBorder="1" applyAlignment="1">
      <alignment horizontal="right" vertical="top" wrapText="1"/>
    </xf>
    <xf numFmtId="180" fontId="4" fillId="0" borderId="10" xfId="42" applyNumberFormat="1" applyFont="1" applyFill="1" applyBorder="1" applyAlignment="1">
      <alignment vertical="top" wrapText="1"/>
    </xf>
    <xf numFmtId="180" fontId="5" fillId="0" borderId="0" xfId="42" applyNumberFormat="1" applyFont="1" applyFill="1" applyAlignment="1">
      <alignment/>
    </xf>
    <xf numFmtId="180" fontId="4" fillId="0" borderId="12" xfId="42" applyNumberFormat="1" applyFont="1" applyFill="1" applyBorder="1" applyAlignment="1">
      <alignment horizontal="right" vertical="top" wrapText="1"/>
    </xf>
    <xf numFmtId="180" fontId="5" fillId="0" borderId="10" xfId="42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7" fontId="5" fillId="33" borderId="0" xfId="0" applyNumberFormat="1" applyFont="1" applyFill="1" applyAlignment="1">
      <alignment horizontal="right"/>
    </xf>
    <xf numFmtId="0" fontId="88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180" fontId="87" fillId="0" borderId="0" xfId="42" applyNumberFormat="1" applyFont="1" applyBorder="1" applyAlignment="1">
      <alignment horizontal="right" vertical="top" wrapText="1"/>
    </xf>
    <xf numFmtId="0" fontId="86" fillId="0" borderId="0" xfId="0" applyFont="1" applyAlignment="1">
      <alignment horizontal="center"/>
    </xf>
    <xf numFmtId="37" fontId="87" fillId="0" borderId="0" xfId="0" applyNumberFormat="1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39" fontId="87" fillId="0" borderId="0" xfId="0" applyNumberFormat="1" applyFont="1" applyAlignment="1">
      <alignment horizontal="center"/>
    </xf>
    <xf numFmtId="37" fontId="85" fillId="0" borderId="0" xfId="0" applyNumberFormat="1" applyFont="1" applyBorder="1" applyAlignment="1">
      <alignment horizontal="center"/>
    </xf>
    <xf numFmtId="37" fontId="85" fillId="0" borderId="0" xfId="0" applyNumberFormat="1" applyFont="1" applyAlignment="1">
      <alignment horizontal="center"/>
    </xf>
    <xf numFmtId="37" fontId="89" fillId="0" borderId="0" xfId="0" applyNumberFormat="1" applyFont="1" applyAlignment="1">
      <alignment horizontal="center"/>
    </xf>
    <xf numFmtId="39" fontId="85" fillId="0" borderId="0" xfId="0" applyNumberFormat="1" applyFont="1" applyAlignment="1">
      <alignment horizontal="center"/>
    </xf>
    <xf numFmtId="169" fontId="14" fillId="0" borderId="0" xfId="0" applyNumberFormat="1" applyFont="1" applyBorder="1" applyAlignment="1">
      <alignment horizontal="right"/>
    </xf>
    <xf numFmtId="180" fontId="14" fillId="0" borderId="0" xfId="42" applyNumberFormat="1" applyFont="1" applyBorder="1" applyAlignment="1">
      <alignment horizontal="right"/>
    </xf>
    <xf numFmtId="169" fontId="14" fillId="0" borderId="0" xfId="0" applyNumberFormat="1" applyFont="1" applyAlignment="1">
      <alignment horizontal="right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80" fontId="14" fillId="0" borderId="0" xfId="42" applyNumberFormat="1" applyFont="1" applyAlignment="1">
      <alignment/>
    </xf>
    <xf numFmtId="180" fontId="4" fillId="0" borderId="0" xfId="42" applyNumberFormat="1" applyFont="1" applyFill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180" fontId="5" fillId="0" borderId="0" xfId="42" applyNumberFormat="1" applyFont="1" applyFill="1" applyAlignment="1">
      <alignment horizontal="center" vertical="center"/>
    </xf>
    <xf numFmtId="180" fontId="4" fillId="0" borderId="14" xfId="42" applyNumberFormat="1" applyFont="1" applyBorder="1" applyAlignment="1">
      <alignment horizontal="center" vertical="center"/>
    </xf>
    <xf numFmtId="180" fontId="4" fillId="0" borderId="14" xfId="42" applyNumberFormat="1" applyFont="1" applyFill="1" applyBorder="1" applyAlignment="1">
      <alignment horizontal="center" vertical="center"/>
    </xf>
    <xf numFmtId="180" fontId="14" fillId="0" borderId="0" xfId="42" applyNumberFormat="1" applyFont="1" applyBorder="1" applyAlignment="1">
      <alignment/>
    </xf>
    <xf numFmtId="171" fontId="14" fillId="0" borderId="0" xfId="42" applyFont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4EEPS0A\Consol%20Cashflow%20working%2031.03.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4EEPS0A\Consol%20Cashflow%20working%2030.06.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4EEPS0A\Consol%20Cashflow%20working%2031.12.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4\Mar%202014\Group%20Consol%20Mar%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4EEPS0A\Consol%20Cashflow%20working%2031.3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25">
          <cell r="C25">
            <v>0</v>
          </cell>
        </row>
        <row r="57">
          <cell r="C57">
            <v>11027.686000000003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</sheetNames>
    <sheetDataSet>
      <sheetData sheetId="33">
        <row r="6">
          <cell r="C6">
            <v>670.6215750020297</v>
          </cell>
        </row>
        <row r="18">
          <cell r="J18">
            <v>1987.8980427333336</v>
          </cell>
        </row>
        <row r="20">
          <cell r="C20">
            <v>-499</v>
          </cell>
        </row>
        <row r="21">
          <cell r="C21">
            <v>-6579</v>
          </cell>
        </row>
        <row r="22">
          <cell r="C22">
            <v>-244.1172085712019</v>
          </cell>
        </row>
        <row r="23">
          <cell r="C23">
            <v>4102</v>
          </cell>
        </row>
        <row r="24">
          <cell r="C24">
            <v>2350.102107030795</v>
          </cell>
        </row>
        <row r="27">
          <cell r="C27">
            <v>-112.77533</v>
          </cell>
        </row>
        <row r="29">
          <cell r="C29">
            <v>-1005</v>
          </cell>
        </row>
        <row r="34">
          <cell r="C34">
            <v>12.656439999999998</v>
          </cell>
        </row>
        <row r="35">
          <cell r="C35">
            <v>127.52656</v>
          </cell>
        </row>
        <row r="36">
          <cell r="C36">
            <v>79.31141000000001</v>
          </cell>
        </row>
        <row r="37">
          <cell r="C37">
            <v>2090.0843300000015</v>
          </cell>
        </row>
        <row r="38">
          <cell r="C38">
            <v>-5791.46975</v>
          </cell>
        </row>
        <row r="39">
          <cell r="C39">
            <v>5.00786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-624.3929699999999</v>
          </cell>
        </row>
        <row r="49">
          <cell r="C49">
            <v>-275</v>
          </cell>
        </row>
        <row r="51">
          <cell r="C51">
            <v>-3355</v>
          </cell>
        </row>
        <row r="52">
          <cell r="C52">
            <v>-67</v>
          </cell>
        </row>
        <row r="58">
          <cell r="C58">
            <v>5.426444559994707</v>
          </cell>
        </row>
        <row r="62">
          <cell r="C62">
            <v>7811</v>
          </cell>
        </row>
        <row r="63">
          <cell r="C63">
            <v>16318</v>
          </cell>
        </row>
        <row r="66">
          <cell r="C66">
            <v>-9086</v>
          </cell>
        </row>
        <row r="67">
          <cell r="C67">
            <v>-12766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</sheetNames>
    <sheetDataSet>
      <sheetData sheetId="43">
        <row r="44">
          <cell r="C44">
            <v>103</v>
          </cell>
        </row>
        <row r="46">
          <cell r="C46">
            <v>-1598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</sheetNames>
    <sheetDataSet>
      <sheetData sheetId="14">
        <row r="13">
          <cell r="U13">
            <v>23982.21932</v>
          </cell>
        </row>
        <row r="14">
          <cell r="U14">
            <v>-15537.31411</v>
          </cell>
        </row>
        <row r="17">
          <cell r="U17">
            <v>178.92506999999998</v>
          </cell>
        </row>
        <row r="19">
          <cell r="U19">
            <v>-5276.4201299999995</v>
          </cell>
        </row>
        <row r="20">
          <cell r="U20">
            <v>-752.3823399999998</v>
          </cell>
        </row>
        <row r="21">
          <cell r="U21">
            <v>-798.41148</v>
          </cell>
        </row>
        <row r="26">
          <cell r="U26">
            <v>-627.84426</v>
          </cell>
        </row>
        <row r="29">
          <cell r="U29">
            <v>-635.5185</v>
          </cell>
        </row>
        <row r="31">
          <cell r="U31">
            <v>19.765254192</v>
          </cell>
        </row>
        <row r="33">
          <cell r="U33">
            <v>552.755824192001</v>
          </cell>
        </row>
        <row r="70">
          <cell r="U70">
            <v>68063.18020000002</v>
          </cell>
        </row>
        <row r="72">
          <cell r="U72">
            <v>11958.567</v>
          </cell>
        </row>
        <row r="75">
          <cell r="U75">
            <v>1.434</v>
          </cell>
        </row>
        <row r="77">
          <cell r="U77">
            <v>200.45300000000003</v>
          </cell>
        </row>
        <row r="78">
          <cell r="U78">
            <v>373.969</v>
          </cell>
        </row>
        <row r="83">
          <cell r="U83">
            <v>9364.22111</v>
          </cell>
        </row>
        <row r="84">
          <cell r="U84">
            <v>19215.161200000002</v>
          </cell>
        </row>
        <row r="87">
          <cell r="U87">
            <v>2792.3831099999998</v>
          </cell>
        </row>
        <row r="88">
          <cell r="U88">
            <v>395.91096</v>
          </cell>
        </row>
        <row r="91">
          <cell r="U91">
            <v>39630.09125</v>
          </cell>
        </row>
        <row r="93">
          <cell r="U93">
            <v>271.71004999999997</v>
          </cell>
        </row>
        <row r="94">
          <cell r="U94">
            <v>165.15999999999997</v>
          </cell>
        </row>
        <row r="95">
          <cell r="U95">
            <v>4.48</v>
          </cell>
        </row>
        <row r="109">
          <cell r="U109">
            <v>571.50056</v>
          </cell>
        </row>
        <row r="110">
          <cell r="U110">
            <v>177.41302</v>
          </cell>
        </row>
        <row r="111">
          <cell r="U111">
            <v>12671.746770000002</v>
          </cell>
        </row>
        <row r="112">
          <cell r="U112">
            <v>2336.40563</v>
          </cell>
        </row>
        <row r="113">
          <cell r="U113">
            <v>1241.69041</v>
          </cell>
        </row>
        <row r="122">
          <cell r="U122">
            <v>79999.99999999999</v>
          </cell>
        </row>
        <row r="123">
          <cell r="U123">
            <v>0</v>
          </cell>
        </row>
        <row r="125">
          <cell r="U125">
            <v>28.99172</v>
          </cell>
        </row>
        <row r="126">
          <cell r="U126">
            <v>18487.734824191983</v>
          </cell>
        </row>
        <row r="127">
          <cell r="U127">
            <v>2660.465</v>
          </cell>
        </row>
        <row r="129">
          <cell r="U129">
            <v>-14.884254192</v>
          </cell>
        </row>
        <row r="134">
          <cell r="U134">
            <v>118.972</v>
          </cell>
        </row>
        <row r="135">
          <cell r="U135">
            <v>23167.983529999998</v>
          </cell>
        </row>
        <row r="136">
          <cell r="U136">
            <v>3315.366</v>
          </cell>
        </row>
        <row r="139">
          <cell r="U139">
            <v>0</v>
          </cell>
        </row>
        <row r="142">
          <cell r="U142">
            <v>16649.71007</v>
          </cell>
        </row>
        <row r="143">
          <cell r="U143">
            <v>7800.80759</v>
          </cell>
        </row>
        <row r="144">
          <cell r="U144">
            <v>1171.88887</v>
          </cell>
        </row>
        <row r="153">
          <cell r="U153">
            <v>98.37419000000001</v>
          </cell>
        </row>
        <row r="154">
          <cell r="U154">
            <v>15659.87214</v>
          </cell>
        </row>
        <row r="155">
          <cell r="U155">
            <v>290.1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</sheetNames>
    <sheetDataSet>
      <sheetData sheetId="48">
        <row r="6">
          <cell r="B6">
            <v>1168.5090700000014</v>
          </cell>
        </row>
        <row r="18">
          <cell r="J18">
            <v>782.6935100000001</v>
          </cell>
        </row>
        <row r="20">
          <cell r="B20">
            <v>195.72789000000012</v>
          </cell>
        </row>
        <row r="21">
          <cell r="B21">
            <v>-6899.383200000002</v>
          </cell>
        </row>
        <row r="22">
          <cell r="B22">
            <v>-5574.60926</v>
          </cell>
        </row>
        <row r="23">
          <cell r="B23">
            <v>-1870.8121099999998</v>
          </cell>
        </row>
        <row r="24">
          <cell r="B24">
            <v>10005.461530000002</v>
          </cell>
        </row>
        <row r="25">
          <cell r="B25">
            <v>-2620.485</v>
          </cell>
        </row>
        <row r="27">
          <cell r="B27">
            <v>-142.18308</v>
          </cell>
        </row>
        <row r="28">
          <cell r="B28">
            <v>181</v>
          </cell>
        </row>
        <row r="29">
          <cell r="B29">
            <v>-190.2185</v>
          </cell>
        </row>
        <row r="34">
          <cell r="B34">
            <v>20.580170000000003</v>
          </cell>
        </row>
        <row r="35">
          <cell r="B35">
            <v>54.232099999999996</v>
          </cell>
        </row>
        <row r="36">
          <cell r="B36">
            <v>1.16924</v>
          </cell>
        </row>
        <row r="37">
          <cell r="B37">
            <v>1543.4852299999984</v>
          </cell>
        </row>
        <row r="39">
          <cell r="B39">
            <v>-1127.54681</v>
          </cell>
        </row>
        <row r="41">
          <cell r="B41">
            <v>0</v>
          </cell>
        </row>
        <row r="48">
          <cell r="B48">
            <v>-201.84476999999998</v>
          </cell>
        </row>
        <row r="50">
          <cell r="B50">
            <v>-2259</v>
          </cell>
        </row>
        <row r="53">
          <cell r="B53">
            <v>-1918.5244700000003</v>
          </cell>
        </row>
        <row r="54">
          <cell r="B54">
            <v>-71.82981</v>
          </cell>
        </row>
        <row r="59">
          <cell r="B59">
            <v>3359.2560000000053</v>
          </cell>
        </row>
        <row r="64">
          <cell r="B64">
            <v>1241.69041</v>
          </cell>
        </row>
        <row r="65">
          <cell r="B65">
            <v>15185.41302</v>
          </cell>
        </row>
        <row r="68">
          <cell r="B68">
            <v>-9434</v>
          </cell>
        </row>
        <row r="69">
          <cell r="B69">
            <v>-12672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PageLayoutView="0" workbookViewId="0" topLeftCell="A13">
      <selection activeCell="P53" sqref="P53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3" width="3.7109375" style="0" customWidth="1"/>
    <col min="4" max="4" width="19.8515625" style="0" hidden="1" customWidth="1"/>
    <col min="5" max="5" width="20.140625" style="0" hidden="1" customWidth="1"/>
    <col min="6" max="6" width="4.00390625" style="182" hidden="1" customWidth="1"/>
    <col min="7" max="8" width="21.00390625" style="0" hidden="1" customWidth="1"/>
    <col min="9" max="9" width="5.57421875" style="182" hidden="1" customWidth="1"/>
    <col min="10" max="11" width="21.00390625" style="0" hidden="1" customWidth="1"/>
    <col min="12" max="12" width="4.57421875" style="182" hidden="1" customWidth="1"/>
    <col min="13" max="14" width="21.00390625" style="0" customWidth="1"/>
    <col min="15" max="15" width="4.7109375" style="182" customWidth="1"/>
    <col min="16" max="17" width="22.140625" style="0" customWidth="1"/>
    <col min="18" max="18" width="4.140625" style="0" customWidth="1"/>
  </cols>
  <sheetData>
    <row r="1" ht="20.25">
      <c r="B1" s="6" t="s">
        <v>122</v>
      </c>
    </row>
    <row r="2" ht="12.75">
      <c r="B2" s="2"/>
    </row>
    <row r="3" spans="2:15" s="51" customFormat="1" ht="15">
      <c r="B3" s="16" t="s">
        <v>213</v>
      </c>
      <c r="F3" s="183"/>
      <c r="I3" s="183"/>
      <c r="L3" s="183"/>
      <c r="O3" s="183"/>
    </row>
    <row r="4" spans="2:18" s="51" customFormat="1" ht="15">
      <c r="B4" s="16" t="s">
        <v>277</v>
      </c>
      <c r="F4" s="183"/>
      <c r="I4" s="183"/>
      <c r="L4" s="183"/>
      <c r="O4" s="183"/>
      <c r="R4" s="85"/>
    </row>
    <row r="5" spans="2:18" s="51" customFormat="1" ht="15">
      <c r="B5" s="86"/>
      <c r="F5" s="183"/>
      <c r="I5" s="183"/>
      <c r="L5" s="183"/>
      <c r="O5" s="183"/>
      <c r="R5" s="85"/>
    </row>
    <row r="6" spans="2:18" s="51" customFormat="1" ht="21" thickBot="1">
      <c r="B6" s="16"/>
      <c r="F6" s="183"/>
      <c r="I6" s="183"/>
      <c r="L6" s="183"/>
      <c r="O6" s="183"/>
      <c r="P6" s="119"/>
      <c r="Q6" s="173"/>
      <c r="R6" s="85"/>
    </row>
    <row r="7" spans="4:18" s="51" customFormat="1" ht="15.75" thickBot="1">
      <c r="D7" s="258" t="s">
        <v>85</v>
      </c>
      <c r="E7" s="259"/>
      <c r="F7" s="166"/>
      <c r="G7" s="258" t="s">
        <v>85</v>
      </c>
      <c r="H7" s="259"/>
      <c r="I7" s="166"/>
      <c r="J7" s="258" t="s">
        <v>85</v>
      </c>
      <c r="K7" s="259"/>
      <c r="L7" s="166"/>
      <c r="M7" s="258" t="s">
        <v>85</v>
      </c>
      <c r="N7" s="259"/>
      <c r="O7" s="166"/>
      <c r="P7" s="258" t="s">
        <v>124</v>
      </c>
      <c r="Q7" s="259"/>
      <c r="R7" s="60"/>
    </row>
    <row r="8" spans="4:18" s="51" customFormat="1" ht="15">
      <c r="D8" s="166"/>
      <c r="E8" s="166"/>
      <c r="F8" s="166"/>
      <c r="I8" s="183"/>
      <c r="L8" s="183"/>
      <c r="O8" s="183"/>
      <c r="Q8" s="60"/>
      <c r="R8" s="60"/>
    </row>
    <row r="9" spans="3:18" s="51" customFormat="1" ht="12.75" customHeight="1">
      <c r="C9" s="55"/>
      <c r="D9" s="260" t="s">
        <v>136</v>
      </c>
      <c r="E9" s="260" t="s">
        <v>224</v>
      </c>
      <c r="F9" s="56"/>
      <c r="G9" s="260" t="s">
        <v>136</v>
      </c>
      <c r="H9" s="260" t="s">
        <v>224</v>
      </c>
      <c r="I9" s="56"/>
      <c r="J9" s="260" t="s">
        <v>136</v>
      </c>
      <c r="K9" s="260" t="s">
        <v>224</v>
      </c>
      <c r="L9" s="56"/>
      <c r="M9" s="260" t="s">
        <v>136</v>
      </c>
      <c r="N9" s="260" t="s">
        <v>224</v>
      </c>
      <c r="O9" s="56"/>
      <c r="P9" s="260" t="s">
        <v>227</v>
      </c>
      <c r="Q9" s="260" t="s">
        <v>223</v>
      </c>
      <c r="R9" s="60"/>
    </row>
    <row r="10" spans="3:18" s="51" customFormat="1" ht="15">
      <c r="C10" s="55"/>
      <c r="D10" s="260"/>
      <c r="E10" s="261"/>
      <c r="F10" s="183"/>
      <c r="G10" s="260"/>
      <c r="H10" s="261"/>
      <c r="I10" s="183"/>
      <c r="J10" s="260"/>
      <c r="K10" s="261"/>
      <c r="L10" s="183"/>
      <c r="M10" s="260"/>
      <c r="N10" s="261"/>
      <c r="O10" s="183"/>
      <c r="P10" s="260"/>
      <c r="Q10" s="261"/>
      <c r="R10" s="60"/>
    </row>
    <row r="11" spans="3:18" s="51" customFormat="1" ht="15">
      <c r="C11" s="55"/>
      <c r="D11" s="260"/>
      <c r="E11" s="261"/>
      <c r="F11" s="183"/>
      <c r="G11" s="260"/>
      <c r="H11" s="261"/>
      <c r="I11" s="183"/>
      <c r="J11" s="260"/>
      <c r="K11" s="261"/>
      <c r="L11" s="183"/>
      <c r="M11" s="260"/>
      <c r="N11" s="261"/>
      <c r="O11" s="183"/>
      <c r="P11" s="260"/>
      <c r="Q11" s="261"/>
      <c r="R11" s="60"/>
    </row>
    <row r="12" spans="3:18" s="51" customFormat="1" ht="31.5" customHeight="1">
      <c r="C12" s="55"/>
      <c r="D12" s="260"/>
      <c r="E12" s="261"/>
      <c r="F12" s="183"/>
      <c r="G12" s="260"/>
      <c r="H12" s="261"/>
      <c r="I12" s="183"/>
      <c r="J12" s="260"/>
      <c r="K12" s="261"/>
      <c r="L12" s="183"/>
      <c r="M12" s="260"/>
      <c r="N12" s="261"/>
      <c r="O12" s="183"/>
      <c r="P12" s="260"/>
      <c r="Q12" s="261"/>
      <c r="R12" s="60"/>
    </row>
    <row r="13" spans="3:18" s="51" customFormat="1" ht="15">
      <c r="C13" s="58"/>
      <c r="D13" s="57" t="s">
        <v>269</v>
      </c>
      <c r="E13" s="57" t="s">
        <v>238</v>
      </c>
      <c r="F13" s="201"/>
      <c r="G13" s="57" t="s">
        <v>261</v>
      </c>
      <c r="H13" s="57" t="s">
        <v>247</v>
      </c>
      <c r="I13" s="201"/>
      <c r="J13" s="57" t="s">
        <v>270</v>
      </c>
      <c r="K13" s="57" t="s">
        <v>246</v>
      </c>
      <c r="L13" s="201"/>
      <c r="M13" s="57" t="s">
        <v>278</v>
      </c>
      <c r="N13" s="57" t="s">
        <v>269</v>
      </c>
      <c r="O13" s="201"/>
      <c r="P13" s="57" t="s">
        <v>278</v>
      </c>
      <c r="Q13" s="57" t="s">
        <v>269</v>
      </c>
      <c r="R13" s="60"/>
    </row>
    <row r="14" spans="3:18" s="51" customFormat="1" ht="15">
      <c r="C14" s="58"/>
      <c r="D14" s="58" t="s">
        <v>0</v>
      </c>
      <c r="E14" s="58" t="s">
        <v>0</v>
      </c>
      <c r="F14" s="202"/>
      <c r="G14" s="58" t="s">
        <v>0</v>
      </c>
      <c r="H14" s="58" t="s">
        <v>0</v>
      </c>
      <c r="I14" s="202"/>
      <c r="J14" s="58" t="s">
        <v>0</v>
      </c>
      <c r="K14" s="58" t="s">
        <v>0</v>
      </c>
      <c r="L14" s="202"/>
      <c r="M14" s="58" t="s">
        <v>0</v>
      </c>
      <c r="N14" s="58" t="s">
        <v>0</v>
      </c>
      <c r="O14" s="202"/>
      <c r="P14" s="58" t="s">
        <v>0</v>
      </c>
      <c r="Q14" s="58" t="s">
        <v>0</v>
      </c>
      <c r="R14" s="60"/>
    </row>
    <row r="15" spans="3:17" s="51" customFormat="1" ht="15">
      <c r="C15" s="58"/>
      <c r="D15" s="58"/>
      <c r="E15" s="58"/>
      <c r="F15" s="202"/>
      <c r="G15" s="58"/>
      <c r="H15" s="58"/>
      <c r="I15" s="202"/>
      <c r="J15" s="58"/>
      <c r="K15" s="58"/>
      <c r="L15" s="202"/>
      <c r="M15" s="234"/>
      <c r="N15" s="58"/>
      <c r="O15" s="202"/>
      <c r="Q15" s="58"/>
    </row>
    <row r="16" spans="2:18" s="51" customFormat="1" ht="15">
      <c r="B16" s="16" t="s">
        <v>1</v>
      </c>
      <c r="C16" s="59"/>
      <c r="D16" s="125">
        <v>19741</v>
      </c>
      <c r="E16" s="125">
        <v>19782</v>
      </c>
      <c r="F16" s="195"/>
      <c r="G16" s="125">
        <v>21539</v>
      </c>
      <c r="H16" s="125">
        <v>23812</v>
      </c>
      <c r="I16" s="195"/>
      <c r="J16" s="125">
        <v>19082</v>
      </c>
      <c r="K16" s="125">
        <v>22467</v>
      </c>
      <c r="L16" s="195"/>
      <c r="M16" s="125">
        <f>P16</f>
        <v>23982.21932</v>
      </c>
      <c r="N16" s="125">
        <f>Q16</f>
        <v>19741</v>
      </c>
      <c r="O16" s="195"/>
      <c r="P16" s="125">
        <f>'[8]1conso-YTD (2)'!$U$13</f>
        <v>23982.21932</v>
      </c>
      <c r="Q16" s="125">
        <v>19741</v>
      </c>
      <c r="R16" s="60"/>
    </row>
    <row r="17" spans="3:18" s="51" customFormat="1" ht="14.25">
      <c r="C17" s="59"/>
      <c r="D17" s="125"/>
      <c r="E17" s="125"/>
      <c r="F17" s="195"/>
      <c r="G17" s="125"/>
      <c r="H17" s="125"/>
      <c r="I17" s="195"/>
      <c r="J17" s="125"/>
      <c r="K17" s="125"/>
      <c r="L17" s="195"/>
      <c r="M17" s="125"/>
      <c r="N17" s="125"/>
      <c r="O17" s="195"/>
      <c r="P17" s="125"/>
      <c r="Q17" s="125"/>
      <c r="R17" s="60"/>
    </row>
    <row r="18" spans="2:18" s="51" customFormat="1" ht="14.25">
      <c r="B18" s="51" t="s">
        <v>31</v>
      </c>
      <c r="C18" s="59"/>
      <c r="D18" s="125">
        <v>-13708</v>
      </c>
      <c r="E18" s="125">
        <v>-11190</v>
      </c>
      <c r="F18" s="195"/>
      <c r="G18" s="125">
        <v>-12202</v>
      </c>
      <c r="H18" s="125">
        <v>-14545</v>
      </c>
      <c r="I18" s="195"/>
      <c r="J18" s="125">
        <v>-12737</v>
      </c>
      <c r="K18" s="125">
        <v>-13259</v>
      </c>
      <c r="L18" s="195"/>
      <c r="M18" s="125">
        <f>P18</f>
        <v>-15537.31411</v>
      </c>
      <c r="N18" s="125">
        <f>Q18</f>
        <v>-13708</v>
      </c>
      <c r="O18" s="195"/>
      <c r="P18" s="125">
        <f>'[8]1conso-YTD (2)'!$U$14</f>
        <v>-15537.31411</v>
      </c>
      <c r="Q18" s="125">
        <v>-13708</v>
      </c>
      <c r="R18" s="60"/>
    </row>
    <row r="19" spans="2:18" s="51" customFormat="1" ht="14.25">
      <c r="B19" s="60"/>
      <c r="C19" s="59"/>
      <c r="D19" s="167"/>
      <c r="E19" s="167"/>
      <c r="F19" s="171"/>
      <c r="G19" s="167"/>
      <c r="H19" s="167"/>
      <c r="I19" s="171"/>
      <c r="J19" s="167"/>
      <c r="K19" s="167"/>
      <c r="L19" s="171"/>
      <c r="M19" s="167"/>
      <c r="N19" s="167"/>
      <c r="O19" s="171"/>
      <c r="P19" s="129"/>
      <c r="Q19" s="167"/>
      <c r="R19" s="60"/>
    </row>
    <row r="20" spans="2:18" s="51" customFormat="1" ht="15">
      <c r="B20" s="61" t="s">
        <v>32</v>
      </c>
      <c r="C20" s="59"/>
      <c r="D20" s="125">
        <f>SUM(D16:D19)</f>
        <v>6033</v>
      </c>
      <c r="E20" s="125">
        <f>SUM(E16:E19)</f>
        <v>8592</v>
      </c>
      <c r="F20" s="195"/>
      <c r="G20" s="125">
        <f>SUM(G16:G19)</f>
        <v>9337</v>
      </c>
      <c r="H20" s="125">
        <f>SUM(H16:H19)</f>
        <v>9267</v>
      </c>
      <c r="I20" s="195"/>
      <c r="J20" s="125">
        <f>SUM(J16:J19)</f>
        <v>6345</v>
      </c>
      <c r="K20" s="125">
        <f>SUM(K16:K19)</f>
        <v>9208</v>
      </c>
      <c r="L20" s="195"/>
      <c r="M20" s="125">
        <f>SUM(M16:M19)</f>
        <v>8444.90521</v>
      </c>
      <c r="N20" s="125">
        <f>SUM(N16:N19)</f>
        <v>6033</v>
      </c>
      <c r="O20" s="195"/>
      <c r="P20" s="125">
        <f>+P16+P18</f>
        <v>8444.90521</v>
      </c>
      <c r="Q20" s="195">
        <f>SUM(Q16:Q18)</f>
        <v>6033</v>
      </c>
      <c r="R20" s="60"/>
    </row>
    <row r="21" spans="3:18" s="51" customFormat="1" ht="14.25">
      <c r="C21" s="59"/>
      <c r="D21" s="128"/>
      <c r="E21" s="128"/>
      <c r="F21" s="171"/>
      <c r="G21" s="128"/>
      <c r="H21" s="128"/>
      <c r="I21" s="171"/>
      <c r="J21" s="128"/>
      <c r="K21" s="128"/>
      <c r="L21" s="171"/>
      <c r="M21" s="128"/>
      <c r="N21" s="128"/>
      <c r="O21" s="171"/>
      <c r="P21" s="128"/>
      <c r="Q21" s="128"/>
      <c r="R21" s="60"/>
    </row>
    <row r="22" spans="2:18" s="51" customFormat="1" ht="12.75" customHeight="1">
      <c r="B22" s="51" t="s">
        <v>50</v>
      </c>
      <c r="C22" s="59"/>
      <c r="D22" s="125">
        <v>238</v>
      </c>
      <c r="E22" s="125">
        <v>620</v>
      </c>
      <c r="F22" s="195"/>
      <c r="G22" s="125">
        <v>252</v>
      </c>
      <c r="H22" s="125">
        <v>221</v>
      </c>
      <c r="I22" s="195"/>
      <c r="J22" s="125">
        <v>344</v>
      </c>
      <c r="K22" s="125">
        <v>376</v>
      </c>
      <c r="L22" s="195"/>
      <c r="M22" s="125">
        <f>P22</f>
        <v>178.92506999999998</v>
      </c>
      <c r="N22" s="125">
        <f>Q22</f>
        <v>238</v>
      </c>
      <c r="O22" s="195"/>
      <c r="P22" s="125">
        <f>'[8]1conso-YTD (2)'!$U$17</f>
        <v>178.92506999999998</v>
      </c>
      <c r="Q22" s="125">
        <v>238</v>
      </c>
      <c r="R22" s="87"/>
    </row>
    <row r="23" spans="3:18" s="51" customFormat="1" ht="12.75" customHeight="1">
      <c r="C23" s="59"/>
      <c r="D23" s="128"/>
      <c r="E23" s="125"/>
      <c r="F23" s="195"/>
      <c r="G23" s="125"/>
      <c r="H23" s="125"/>
      <c r="I23" s="195"/>
      <c r="J23" s="125"/>
      <c r="K23" s="125"/>
      <c r="L23" s="195"/>
      <c r="M23" s="125"/>
      <c r="N23" s="125"/>
      <c r="O23" s="195"/>
      <c r="P23" s="125"/>
      <c r="Q23" s="125"/>
      <c r="R23" s="87"/>
    </row>
    <row r="24" spans="2:18" s="51" customFormat="1" ht="12.75" customHeight="1">
      <c r="B24" s="51" t="s">
        <v>134</v>
      </c>
      <c r="C24" s="59"/>
      <c r="D24" s="125">
        <v>-5798</v>
      </c>
      <c r="E24" s="125">
        <v>-5393</v>
      </c>
      <c r="F24" s="195"/>
      <c r="G24" s="125">
        <v>-7106</v>
      </c>
      <c r="H24" s="125">
        <v>-5882</v>
      </c>
      <c r="I24" s="195"/>
      <c r="J24" s="125">
        <v>-5952</v>
      </c>
      <c r="K24" s="229">
        <f>-6701-560</f>
        <v>-7261</v>
      </c>
      <c r="L24" s="195"/>
      <c r="M24" s="125">
        <f>P24</f>
        <v>-6028.80247</v>
      </c>
      <c r="N24" s="125">
        <f>Q24</f>
        <v>-5798</v>
      </c>
      <c r="O24" s="195"/>
      <c r="P24" s="125">
        <f>'[8]1conso-YTD (2)'!$U$19+'[8]1conso-YTD (2)'!$U$20</f>
        <v>-6028.80247</v>
      </c>
      <c r="Q24" s="125">
        <v>-5798</v>
      </c>
      <c r="R24" s="87"/>
    </row>
    <row r="25" spans="3:18" s="51" customFormat="1" ht="12.75" customHeight="1">
      <c r="C25" s="59"/>
      <c r="D25" s="128"/>
      <c r="E25" s="128"/>
      <c r="F25" s="171"/>
      <c r="G25" s="128"/>
      <c r="H25" s="128"/>
      <c r="I25" s="171"/>
      <c r="J25" s="128"/>
      <c r="K25" s="128"/>
      <c r="L25" s="171"/>
      <c r="M25" s="128"/>
      <c r="N25" s="128"/>
      <c r="O25" s="171"/>
      <c r="P25" s="125"/>
      <c r="Q25" s="125"/>
      <c r="R25" s="87"/>
    </row>
    <row r="26" spans="2:18" s="51" customFormat="1" ht="12.75" customHeight="1">
      <c r="B26" s="51" t="s">
        <v>133</v>
      </c>
      <c r="C26" s="59"/>
      <c r="D26" s="125">
        <v>-736</v>
      </c>
      <c r="E26" s="125">
        <v>-737</v>
      </c>
      <c r="F26" s="195"/>
      <c r="G26" s="125">
        <v>-756</v>
      </c>
      <c r="H26" s="125">
        <v>-727</v>
      </c>
      <c r="I26" s="195"/>
      <c r="J26" s="125">
        <v>-786</v>
      </c>
      <c r="K26" s="125">
        <v>-722</v>
      </c>
      <c r="L26" s="195"/>
      <c r="M26" s="125">
        <f>P26</f>
        <v>-798.41148</v>
      </c>
      <c r="N26" s="125">
        <f>Q26</f>
        <v>-736</v>
      </c>
      <c r="O26" s="195"/>
      <c r="P26" s="125">
        <f>'[8]1conso-YTD (2)'!$U$21</f>
        <v>-798.41148</v>
      </c>
      <c r="Q26" s="125">
        <v>-736</v>
      </c>
      <c r="R26" s="87"/>
    </row>
    <row r="27" spans="2:18" s="51" customFormat="1" ht="14.25">
      <c r="B27" s="64"/>
      <c r="C27" s="59"/>
      <c r="D27" s="128"/>
      <c r="E27" s="125"/>
      <c r="F27" s="195"/>
      <c r="G27" s="125"/>
      <c r="H27" s="125"/>
      <c r="I27" s="195"/>
      <c r="J27" s="125"/>
      <c r="K27" s="125"/>
      <c r="L27" s="195"/>
      <c r="M27" s="125"/>
      <c r="N27" s="125"/>
      <c r="O27" s="195"/>
      <c r="P27" s="125"/>
      <c r="Q27" s="125"/>
      <c r="R27" s="60"/>
    </row>
    <row r="28" spans="2:18" s="51" customFormat="1" ht="14.25">
      <c r="B28" s="51" t="s">
        <v>51</v>
      </c>
      <c r="C28" s="63"/>
      <c r="D28" s="125">
        <v>-364</v>
      </c>
      <c r="E28" s="125">
        <v>-587</v>
      </c>
      <c r="F28" s="195"/>
      <c r="G28" s="125">
        <v>-429</v>
      </c>
      <c r="H28" s="125">
        <v>-758</v>
      </c>
      <c r="I28" s="195"/>
      <c r="J28" s="125">
        <v>-516</v>
      </c>
      <c r="K28" s="125">
        <v>-521</v>
      </c>
      <c r="L28" s="195"/>
      <c r="M28" s="125">
        <f>P28</f>
        <v>-627.84426</v>
      </c>
      <c r="N28" s="125">
        <f>Q28</f>
        <v>-364</v>
      </c>
      <c r="O28" s="195"/>
      <c r="P28" s="125">
        <f>'[8]1conso-YTD (2)'!$U$26</f>
        <v>-627.84426</v>
      </c>
      <c r="Q28" s="125">
        <v>-364</v>
      </c>
      <c r="R28" s="60"/>
    </row>
    <row r="29" spans="3:18" s="51" customFormat="1" ht="14.25">
      <c r="C29" s="59"/>
      <c r="D29" s="129"/>
      <c r="E29" s="129"/>
      <c r="F29" s="171"/>
      <c r="G29" s="129"/>
      <c r="H29" s="129"/>
      <c r="I29" s="171"/>
      <c r="J29" s="129"/>
      <c r="K29" s="129"/>
      <c r="L29" s="171"/>
      <c r="M29" s="129"/>
      <c r="N29" s="129"/>
      <c r="O29" s="171"/>
      <c r="P29" s="129"/>
      <c r="Q29" s="129"/>
      <c r="R29" s="87"/>
    </row>
    <row r="30" spans="2:18" s="51" customFormat="1" ht="15">
      <c r="B30" s="16" t="s">
        <v>252</v>
      </c>
      <c r="C30" s="59"/>
      <c r="D30" s="125">
        <f>SUM(D20:D29)</f>
        <v>-627</v>
      </c>
      <c r="E30" s="125">
        <f>SUM(E20:E29)</f>
        <v>2495</v>
      </c>
      <c r="F30" s="195"/>
      <c r="G30" s="125">
        <f>SUM(G20:G29)</f>
        <v>1298</v>
      </c>
      <c r="H30" s="125">
        <f>SUM(H20:H29)</f>
        <v>2121</v>
      </c>
      <c r="I30" s="195"/>
      <c r="J30" s="125">
        <f>SUM(J20:J29)</f>
        <v>-565</v>
      </c>
      <c r="K30" s="125">
        <f>SUM(K20:K29)</f>
        <v>1080</v>
      </c>
      <c r="L30" s="195"/>
      <c r="M30" s="125">
        <f>SUM(M20:M29)</f>
        <v>1168.7720700000004</v>
      </c>
      <c r="N30" s="125">
        <f>SUM(N20:N29)</f>
        <v>-627</v>
      </c>
      <c r="O30" s="195"/>
      <c r="P30" s="125">
        <f>SUM(P20:P28)</f>
        <v>1168.7720700000004</v>
      </c>
      <c r="Q30" s="125">
        <f>SUM(Q20:Q29)</f>
        <v>-627</v>
      </c>
      <c r="R30" s="60"/>
    </row>
    <row r="31" spans="3:18" s="51" customFormat="1" ht="14.25">
      <c r="C31" s="59"/>
      <c r="D31" s="125"/>
      <c r="E31" s="125"/>
      <c r="F31" s="195"/>
      <c r="G31" s="125"/>
      <c r="H31" s="125"/>
      <c r="I31" s="195"/>
      <c r="J31" s="125"/>
      <c r="K31" s="125"/>
      <c r="L31" s="195"/>
      <c r="M31" s="125"/>
      <c r="N31" s="125"/>
      <c r="O31" s="195"/>
      <c r="P31" s="125"/>
      <c r="Q31" s="125"/>
      <c r="R31" s="60"/>
    </row>
    <row r="32" spans="2:18" s="51" customFormat="1" ht="14.25">
      <c r="B32" s="51" t="s">
        <v>33</v>
      </c>
      <c r="C32" s="59"/>
      <c r="D32" s="125">
        <v>0</v>
      </c>
      <c r="E32" s="125">
        <v>-860</v>
      </c>
      <c r="F32" s="195"/>
      <c r="G32" s="207">
        <v>-516</v>
      </c>
      <c r="H32" s="125">
        <v>-250</v>
      </c>
      <c r="I32" s="195"/>
      <c r="J32" s="207">
        <v>-21</v>
      </c>
      <c r="K32" s="125">
        <v>-189</v>
      </c>
      <c r="L32" s="195"/>
      <c r="M32" s="125">
        <f>P32</f>
        <v>-635.5185</v>
      </c>
      <c r="N32" s="125">
        <f>Q32</f>
        <v>0</v>
      </c>
      <c r="O32" s="195"/>
      <c r="P32" s="207">
        <f>'[8]1conso-YTD (2)'!$U$29</f>
        <v>-635.5185</v>
      </c>
      <c r="Q32" s="125">
        <v>0</v>
      </c>
      <c r="R32" s="60"/>
    </row>
    <row r="33" spans="3:18" s="51" customFormat="1" ht="14.25">
      <c r="C33" s="59"/>
      <c r="D33" s="128"/>
      <c r="E33" s="128"/>
      <c r="F33" s="171"/>
      <c r="G33" s="128"/>
      <c r="H33" s="128"/>
      <c r="I33" s="171"/>
      <c r="J33" s="128"/>
      <c r="K33" s="128"/>
      <c r="L33" s="171"/>
      <c r="M33" s="128"/>
      <c r="N33" s="128"/>
      <c r="O33" s="171"/>
      <c r="P33" s="129"/>
      <c r="Q33" s="129"/>
      <c r="R33" s="87"/>
    </row>
    <row r="34" spans="2:18" s="51" customFormat="1" ht="15.75" thickBot="1">
      <c r="B34" s="16" t="s">
        <v>253</v>
      </c>
      <c r="C34" s="59"/>
      <c r="D34" s="126">
        <f>SUM(D30:D33)</f>
        <v>-627</v>
      </c>
      <c r="E34" s="126">
        <f>SUM(E30:E33)</f>
        <v>1635</v>
      </c>
      <c r="F34" s="171"/>
      <c r="G34" s="126">
        <f>SUM(G30:G33)</f>
        <v>782</v>
      </c>
      <c r="H34" s="126">
        <f>SUM(H30:H33)</f>
        <v>1871</v>
      </c>
      <c r="I34" s="171"/>
      <c r="J34" s="126">
        <f>SUM(J30:J33)</f>
        <v>-586</v>
      </c>
      <c r="K34" s="126">
        <f>SUM(K30:K33)</f>
        <v>891</v>
      </c>
      <c r="L34" s="171"/>
      <c r="M34" s="126">
        <f>SUM(M30:M33)</f>
        <v>533.2535700000004</v>
      </c>
      <c r="N34" s="126">
        <f>SUM(N30:N33)</f>
        <v>-627</v>
      </c>
      <c r="O34" s="171"/>
      <c r="P34" s="126">
        <f>SUM(P30:P33)</f>
        <v>533.2535700000004</v>
      </c>
      <c r="Q34" s="126">
        <f>SUM(Q30:Q33)</f>
        <v>-627</v>
      </c>
      <c r="R34" s="60"/>
    </row>
    <row r="35" spans="2:18" s="51" customFormat="1" ht="15.75" thickTop="1">
      <c r="B35" s="16"/>
      <c r="C35" s="59"/>
      <c r="D35" s="128"/>
      <c r="E35" s="128"/>
      <c r="F35" s="171"/>
      <c r="G35" s="128"/>
      <c r="H35" s="128"/>
      <c r="I35" s="171"/>
      <c r="J35" s="128"/>
      <c r="K35" s="128"/>
      <c r="L35" s="171"/>
      <c r="M35" s="128"/>
      <c r="N35" s="128"/>
      <c r="O35" s="171"/>
      <c r="P35" s="128"/>
      <c r="Q35" s="128"/>
      <c r="R35" s="60"/>
    </row>
    <row r="36" spans="2:18" s="51" customFormat="1" ht="15">
      <c r="B36" s="16" t="s">
        <v>214</v>
      </c>
      <c r="C36" s="179"/>
      <c r="D36" s="178">
        <v>0</v>
      </c>
      <c r="E36" s="178">
        <v>0</v>
      </c>
      <c r="F36" s="203"/>
      <c r="G36" s="178">
        <v>0</v>
      </c>
      <c r="H36" s="178">
        <v>0</v>
      </c>
      <c r="I36" s="203"/>
      <c r="J36" s="178">
        <v>0</v>
      </c>
      <c r="K36" s="178">
        <v>0</v>
      </c>
      <c r="L36" s="203"/>
      <c r="M36" s="178">
        <v>0</v>
      </c>
      <c r="N36" s="178">
        <v>0</v>
      </c>
      <c r="O36" s="203"/>
      <c r="P36" s="178">
        <v>0</v>
      </c>
      <c r="Q36" s="178">
        <v>0</v>
      </c>
      <c r="R36" s="60"/>
    </row>
    <row r="37" spans="2:18" s="51" customFormat="1" ht="15">
      <c r="B37" s="16"/>
      <c r="C37" s="179"/>
      <c r="D37" s="178"/>
      <c r="E37" s="178"/>
      <c r="F37" s="203"/>
      <c r="G37" s="178"/>
      <c r="H37" s="178"/>
      <c r="I37" s="203"/>
      <c r="J37" s="178"/>
      <c r="K37" s="178"/>
      <c r="L37" s="203"/>
      <c r="M37" s="178"/>
      <c r="N37" s="178"/>
      <c r="O37" s="203"/>
      <c r="P37" s="178"/>
      <c r="Q37" s="178"/>
      <c r="R37" s="60"/>
    </row>
    <row r="38" spans="2:18" s="51" customFormat="1" ht="15">
      <c r="B38" s="16" t="s">
        <v>215</v>
      </c>
      <c r="C38" s="179"/>
      <c r="D38" s="180">
        <f>SUM(D36:D37)</f>
        <v>0</v>
      </c>
      <c r="E38" s="180">
        <f>SUM(E36:E37)</f>
        <v>0</v>
      </c>
      <c r="F38" s="203"/>
      <c r="G38" s="180">
        <f>SUM(G36:G37)</f>
        <v>0</v>
      </c>
      <c r="H38" s="180">
        <f>SUM(H36:H37)</f>
        <v>0</v>
      </c>
      <c r="I38" s="203"/>
      <c r="J38" s="180">
        <f>SUM(J36:J37)</f>
        <v>0</v>
      </c>
      <c r="K38" s="180">
        <f>SUM(K36:K37)</f>
        <v>0</v>
      </c>
      <c r="L38" s="203"/>
      <c r="M38" s="180">
        <f>SUM(M36:M37)</f>
        <v>0</v>
      </c>
      <c r="N38" s="180">
        <f>SUM(N36:N37)</f>
        <v>0</v>
      </c>
      <c r="O38" s="203"/>
      <c r="P38" s="180">
        <f>SUM(P36:P37)</f>
        <v>0</v>
      </c>
      <c r="Q38" s="180">
        <v>0</v>
      </c>
      <c r="R38" s="60"/>
    </row>
    <row r="39" spans="2:18" s="51" customFormat="1" ht="15">
      <c r="B39" s="16"/>
      <c r="C39" s="59"/>
      <c r="D39" s="128"/>
      <c r="E39" s="128"/>
      <c r="F39" s="171"/>
      <c r="G39" s="128"/>
      <c r="H39" s="128"/>
      <c r="I39" s="171"/>
      <c r="J39" s="128"/>
      <c r="K39" s="128"/>
      <c r="L39" s="171"/>
      <c r="M39" s="128"/>
      <c r="N39" s="128"/>
      <c r="O39" s="171"/>
      <c r="P39" s="128"/>
      <c r="Q39" s="128"/>
      <c r="R39" s="60"/>
    </row>
    <row r="40" spans="2:18" s="51" customFormat="1" ht="15.75" thickBot="1">
      <c r="B40" s="61" t="s">
        <v>260</v>
      </c>
      <c r="C40" s="59"/>
      <c r="D40" s="130">
        <f>D34</f>
        <v>-627</v>
      </c>
      <c r="E40" s="130">
        <f>E34</f>
        <v>1635</v>
      </c>
      <c r="F40" s="171"/>
      <c r="G40" s="130">
        <f>G34</f>
        <v>782</v>
      </c>
      <c r="H40" s="130">
        <f>H34</f>
        <v>1871</v>
      </c>
      <c r="I40" s="171"/>
      <c r="J40" s="130">
        <f>J34</f>
        <v>-586</v>
      </c>
      <c r="K40" s="130">
        <f>K34</f>
        <v>891</v>
      </c>
      <c r="L40" s="171"/>
      <c r="M40" s="130">
        <f>M34</f>
        <v>533.2535700000004</v>
      </c>
      <c r="N40" s="130">
        <f>N34</f>
        <v>-627</v>
      </c>
      <c r="O40" s="171"/>
      <c r="P40" s="130">
        <f>P34</f>
        <v>533.2535700000004</v>
      </c>
      <c r="Q40" s="130">
        <v>-627</v>
      </c>
      <c r="R40" s="60"/>
    </row>
    <row r="41" spans="2:18" s="51" customFormat="1" ht="15.75" thickTop="1">
      <c r="B41" s="16"/>
      <c r="C41" s="59"/>
      <c r="D41" s="128"/>
      <c r="E41" s="128"/>
      <c r="F41" s="171"/>
      <c r="G41" s="128"/>
      <c r="H41" s="128"/>
      <c r="I41" s="171"/>
      <c r="J41" s="128"/>
      <c r="K41" s="128"/>
      <c r="L41" s="171"/>
      <c r="M41" s="128"/>
      <c r="N41" s="128"/>
      <c r="O41" s="171"/>
      <c r="P41" s="128"/>
      <c r="Q41" s="128"/>
      <c r="R41" s="60"/>
    </row>
    <row r="42" spans="2:18" s="51" customFormat="1" ht="15">
      <c r="B42" s="16" t="s">
        <v>254</v>
      </c>
      <c r="C42" s="59"/>
      <c r="D42" s="128"/>
      <c r="E42" s="128"/>
      <c r="F42" s="171"/>
      <c r="G42" s="128"/>
      <c r="H42" s="128"/>
      <c r="I42" s="171"/>
      <c r="J42" s="128"/>
      <c r="K42" s="128"/>
      <c r="L42" s="171"/>
      <c r="M42" s="128"/>
      <c r="N42" s="128"/>
      <c r="O42" s="171"/>
      <c r="P42" s="128"/>
      <c r="Q42" s="128"/>
      <c r="R42" s="60"/>
    </row>
    <row r="43" spans="2:18" s="51" customFormat="1" ht="15">
      <c r="B43" s="16"/>
      <c r="C43" s="59"/>
      <c r="D43" s="128"/>
      <c r="E43" s="128"/>
      <c r="F43" s="171"/>
      <c r="G43" s="128"/>
      <c r="H43" s="128"/>
      <c r="I43" s="171"/>
      <c r="J43" s="128"/>
      <c r="K43" s="128"/>
      <c r="L43" s="171"/>
      <c r="M43" s="128"/>
      <c r="N43" s="128"/>
      <c r="O43" s="171"/>
      <c r="P43" s="128"/>
      <c r="Q43" s="128"/>
      <c r="R43" s="60"/>
    </row>
    <row r="44" spans="2:18" s="51" customFormat="1" ht="14.25">
      <c r="B44" s="51" t="s">
        <v>221</v>
      </c>
      <c r="C44" s="59"/>
      <c r="D44" s="125">
        <v>-565</v>
      </c>
      <c r="E44" s="125">
        <v>1699</v>
      </c>
      <c r="F44" s="195"/>
      <c r="G44" s="125">
        <v>789</v>
      </c>
      <c r="H44" s="125">
        <v>1823</v>
      </c>
      <c r="I44" s="195"/>
      <c r="J44" s="125">
        <v>-583</v>
      </c>
      <c r="K44" s="125">
        <v>1457</v>
      </c>
      <c r="L44" s="195"/>
      <c r="M44" s="125">
        <f>P44</f>
        <v>552.755824192001</v>
      </c>
      <c r="N44" s="125">
        <f>Q44</f>
        <v>-565</v>
      </c>
      <c r="O44" s="195"/>
      <c r="P44" s="171">
        <f>'[8]1conso-YTD (2)'!$U$33</f>
        <v>552.755824192001</v>
      </c>
      <c r="Q44" s="171">
        <v>-565</v>
      </c>
      <c r="R44" s="60"/>
    </row>
    <row r="45" spans="3:18" s="51" customFormat="1" ht="14.25">
      <c r="C45" s="59"/>
      <c r="D45" s="171"/>
      <c r="E45" s="171"/>
      <c r="F45" s="171"/>
      <c r="G45" s="171"/>
      <c r="H45" s="171"/>
      <c r="I45" s="171"/>
      <c r="J45" s="171"/>
      <c r="K45" s="171"/>
      <c r="L45" s="171"/>
      <c r="M45" s="235"/>
      <c r="N45" s="171"/>
      <c r="O45" s="171"/>
      <c r="P45" s="171"/>
      <c r="Q45" s="171"/>
      <c r="R45" s="60"/>
    </row>
    <row r="46" spans="2:18" s="51" customFormat="1" ht="14.25">
      <c r="B46" s="51" t="s">
        <v>222</v>
      </c>
      <c r="C46" s="59"/>
      <c r="D46" s="125">
        <v>-62</v>
      </c>
      <c r="E46" s="125">
        <v>-64</v>
      </c>
      <c r="F46" s="195"/>
      <c r="G46" s="125">
        <v>-7</v>
      </c>
      <c r="H46" s="125">
        <v>48</v>
      </c>
      <c r="I46" s="195"/>
      <c r="J46" s="125">
        <v>-3</v>
      </c>
      <c r="K46" s="125">
        <v>-6</v>
      </c>
      <c r="L46" s="195"/>
      <c r="M46" s="125">
        <f>P46</f>
        <v>-19.765254192</v>
      </c>
      <c r="N46" s="125">
        <f>Q46</f>
        <v>-62</v>
      </c>
      <c r="O46" s="195"/>
      <c r="P46" s="195">
        <f>-'[8]1conso-YTD (2)'!$U$31</f>
        <v>-19.765254192</v>
      </c>
      <c r="Q46" s="195">
        <v>-62</v>
      </c>
      <c r="R46" s="60"/>
    </row>
    <row r="47" spans="2:18" s="51" customFormat="1" ht="15">
      <c r="B47" s="16"/>
      <c r="C47" s="59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60"/>
    </row>
    <row r="48" spans="2:18" s="51" customFormat="1" ht="15" thickBot="1">
      <c r="B48" s="51" t="s">
        <v>216</v>
      </c>
      <c r="C48" s="59"/>
      <c r="D48" s="197">
        <f>SUM(D44:D47)</f>
        <v>-627</v>
      </c>
      <c r="E48" s="197">
        <f>SUM(E44:E47)</f>
        <v>1635</v>
      </c>
      <c r="F48" s="171"/>
      <c r="G48" s="197">
        <f>SUM(G44:G47)</f>
        <v>782</v>
      </c>
      <c r="H48" s="197">
        <f>SUM(H44:H47)</f>
        <v>1871</v>
      </c>
      <c r="I48" s="171"/>
      <c r="J48" s="197">
        <f>SUM(J44:J47)</f>
        <v>-586</v>
      </c>
      <c r="K48" s="197">
        <f>SUM(K44:K47)</f>
        <v>1451</v>
      </c>
      <c r="L48" s="171"/>
      <c r="M48" s="197">
        <f>SUM(M44:M47)</f>
        <v>532.990570000001</v>
      </c>
      <c r="N48" s="197">
        <f>SUM(N44:N47)</f>
        <v>-627</v>
      </c>
      <c r="O48" s="171"/>
      <c r="P48" s="197">
        <f>SUM(P44:P47)</f>
        <v>532.990570000001</v>
      </c>
      <c r="Q48" s="197">
        <f>SUM(Q44:Q47)</f>
        <v>-627</v>
      </c>
      <c r="R48" s="60"/>
    </row>
    <row r="49" spans="3:18" s="51" customFormat="1" ht="15" thickTop="1">
      <c r="C49" s="59"/>
      <c r="D49" s="171"/>
      <c r="E49" s="198"/>
      <c r="F49" s="198"/>
      <c r="G49" s="198"/>
      <c r="H49" s="198"/>
      <c r="I49" s="198"/>
      <c r="J49" s="198"/>
      <c r="K49" s="198"/>
      <c r="L49" s="198"/>
      <c r="M49" s="236"/>
      <c r="N49" s="198"/>
      <c r="O49" s="198"/>
      <c r="P49" s="235"/>
      <c r="Q49" s="171"/>
      <c r="R49" s="60"/>
    </row>
    <row r="50" spans="2:18" s="51" customFormat="1" ht="15">
      <c r="B50" s="16"/>
      <c r="C50" s="59"/>
      <c r="D50" s="171"/>
      <c r="E50" s="198"/>
      <c r="F50" s="198"/>
      <c r="G50" s="198"/>
      <c r="H50" s="198"/>
      <c r="I50" s="198"/>
      <c r="J50" s="198"/>
      <c r="K50" s="198"/>
      <c r="L50" s="198"/>
      <c r="M50" s="236"/>
      <c r="N50" s="198"/>
      <c r="O50" s="198"/>
      <c r="P50" s="235"/>
      <c r="Q50" s="171"/>
      <c r="R50" s="60"/>
    </row>
    <row r="51" spans="2:18" s="51" customFormat="1" ht="14.25">
      <c r="B51" s="54" t="s">
        <v>141</v>
      </c>
      <c r="C51" s="59"/>
      <c r="D51" s="171"/>
      <c r="E51" s="198"/>
      <c r="F51" s="198"/>
      <c r="G51" s="198"/>
      <c r="H51" s="198"/>
      <c r="I51" s="198"/>
      <c r="J51" s="198"/>
      <c r="K51" s="198"/>
      <c r="L51" s="198"/>
      <c r="M51" s="236"/>
      <c r="N51" s="198"/>
      <c r="O51" s="198"/>
      <c r="P51" s="236"/>
      <c r="Q51" s="171"/>
      <c r="R51" s="87"/>
    </row>
    <row r="52" spans="2:18" s="51" customFormat="1" ht="14.25">
      <c r="B52" s="54" t="s">
        <v>142</v>
      </c>
      <c r="C52" s="62"/>
      <c r="D52" s="195">
        <v>159976</v>
      </c>
      <c r="E52" s="195">
        <v>160000</v>
      </c>
      <c r="F52" s="195"/>
      <c r="G52" s="195">
        <v>159778</v>
      </c>
      <c r="H52" s="195">
        <f>Q52</f>
        <v>159976</v>
      </c>
      <c r="I52" s="195"/>
      <c r="J52" s="195">
        <v>160000</v>
      </c>
      <c r="K52" s="195">
        <v>159967</v>
      </c>
      <c r="L52" s="195"/>
      <c r="M52" s="125">
        <f>P52</f>
        <v>160000</v>
      </c>
      <c r="N52" s="125">
        <f>Q52</f>
        <v>159976</v>
      </c>
      <c r="O52" s="195"/>
      <c r="P52" s="171">
        <f>160000000/1000</f>
        <v>160000</v>
      </c>
      <c r="Q52" s="195">
        <v>159976</v>
      </c>
      <c r="R52" s="87"/>
    </row>
    <row r="53" spans="2:18" s="51" customFormat="1" ht="14.25">
      <c r="B53" s="54"/>
      <c r="C53" s="62"/>
      <c r="D53" s="171"/>
      <c r="E53" s="171"/>
      <c r="F53" s="171"/>
      <c r="G53" s="171"/>
      <c r="H53" s="171"/>
      <c r="I53" s="171"/>
      <c r="J53" s="171"/>
      <c r="K53" s="171"/>
      <c r="L53" s="171"/>
      <c r="M53" s="235"/>
      <c r="N53" s="171"/>
      <c r="O53" s="171"/>
      <c r="P53" s="235"/>
      <c r="Q53" s="171"/>
      <c r="R53" s="87"/>
    </row>
    <row r="54" spans="2:18" s="51" customFormat="1" ht="14.25">
      <c r="B54" s="51" t="s">
        <v>217</v>
      </c>
      <c r="C54" s="62"/>
      <c r="D54" s="172">
        <f>D44/D52*100</f>
        <v>-0.35317797669650447</v>
      </c>
      <c r="E54" s="172">
        <f>E44/E52*100</f>
        <v>1.061875</v>
      </c>
      <c r="F54" s="172"/>
      <c r="G54" s="172">
        <f>G44/G52*100</f>
        <v>0.4938101615992189</v>
      </c>
      <c r="H54" s="172">
        <f>H44/H52*100</f>
        <v>1.1395459318897836</v>
      </c>
      <c r="I54" s="172"/>
      <c r="J54" s="172">
        <f>J44/J52*100</f>
        <v>-0.364375</v>
      </c>
      <c r="K54" s="172">
        <f>K44/K52*100</f>
        <v>0.910812855151375</v>
      </c>
      <c r="L54" s="172"/>
      <c r="M54" s="172">
        <f>M44/M52*100</f>
        <v>0.34547239012000064</v>
      </c>
      <c r="N54" s="172">
        <f>N44/N52*100</f>
        <v>-0.35317797669650447</v>
      </c>
      <c r="O54" s="172"/>
      <c r="P54" s="172">
        <f>P44/P52*100</f>
        <v>0.34547239012000064</v>
      </c>
      <c r="Q54" s="172">
        <f>Q44/Q52*100</f>
        <v>-0.35317797669650447</v>
      </c>
      <c r="R54" s="60"/>
    </row>
    <row r="55" spans="6:18" s="51" customFormat="1" ht="14.25">
      <c r="F55" s="183"/>
      <c r="I55" s="183"/>
      <c r="L55" s="183"/>
      <c r="M55" s="237"/>
      <c r="O55" s="183"/>
      <c r="P55" s="237"/>
      <c r="Q55" s="196"/>
      <c r="R55" s="60"/>
    </row>
    <row r="56" spans="3:18" s="51" customFormat="1" ht="14.25">
      <c r="C56" s="65"/>
      <c r="D56" s="65"/>
      <c r="E56" s="65"/>
      <c r="F56" s="204"/>
      <c r="G56" s="65"/>
      <c r="H56" s="65"/>
      <c r="I56" s="204"/>
      <c r="J56" s="65"/>
      <c r="K56" s="65"/>
      <c r="L56" s="204"/>
      <c r="M56" s="238"/>
      <c r="N56" s="65"/>
      <c r="O56" s="204"/>
      <c r="P56" s="238"/>
      <c r="Q56" s="65"/>
      <c r="R56" s="60"/>
    </row>
    <row r="57" spans="2:16" s="51" customFormat="1" ht="15">
      <c r="B57" s="66" t="s">
        <v>80</v>
      </c>
      <c r="F57" s="183"/>
      <c r="I57" s="183"/>
      <c r="L57" s="183"/>
      <c r="M57" s="237"/>
      <c r="O57" s="183"/>
      <c r="P57" s="237"/>
    </row>
    <row r="58" spans="2:15" s="51" customFormat="1" ht="14.25">
      <c r="B58" s="51" t="s">
        <v>99</v>
      </c>
      <c r="F58" s="183"/>
      <c r="I58" s="183"/>
      <c r="L58" s="183"/>
      <c r="O58" s="183"/>
    </row>
    <row r="59" spans="1:15" s="51" customFormat="1" ht="18">
      <c r="A59" s="117" t="s">
        <v>125</v>
      </c>
      <c r="B59" s="116" t="s">
        <v>137</v>
      </c>
      <c r="F59" s="183"/>
      <c r="I59" s="183"/>
      <c r="L59" s="183"/>
      <c r="O59" s="183"/>
    </row>
    <row r="60" spans="1:15" s="51" customFormat="1" ht="18">
      <c r="A60" s="116"/>
      <c r="B60" s="118" t="s">
        <v>138</v>
      </c>
      <c r="F60" s="183"/>
      <c r="I60" s="183"/>
      <c r="L60" s="183"/>
      <c r="O60" s="183"/>
    </row>
    <row r="61" spans="1:15" s="51" customFormat="1" ht="11.25" customHeight="1">
      <c r="A61" s="116"/>
      <c r="B61" s="116"/>
      <c r="F61" s="183"/>
      <c r="I61" s="183"/>
      <c r="L61" s="183"/>
      <c r="O61" s="183"/>
    </row>
    <row r="62" spans="1:15" s="51" customFormat="1" ht="18">
      <c r="A62" s="115" t="s">
        <v>126</v>
      </c>
      <c r="B62" s="116" t="s">
        <v>218</v>
      </c>
      <c r="F62" s="183"/>
      <c r="I62" s="183"/>
      <c r="L62" s="183"/>
      <c r="O62" s="183"/>
    </row>
    <row r="63" spans="1:15" s="51" customFormat="1" ht="18">
      <c r="A63" s="116"/>
      <c r="B63" s="116" t="s">
        <v>279</v>
      </c>
      <c r="F63" s="183"/>
      <c r="I63" s="183"/>
      <c r="L63" s="183"/>
      <c r="O63" s="183"/>
    </row>
    <row r="64" spans="1:15" s="51" customFormat="1" ht="15.75" customHeight="1">
      <c r="A64" s="116"/>
      <c r="B64" s="116" t="s">
        <v>99</v>
      </c>
      <c r="F64" s="183"/>
      <c r="I64" s="183"/>
      <c r="L64" s="183"/>
      <c r="O64" s="183"/>
    </row>
    <row r="65" spans="1:15" s="51" customFormat="1" ht="15.75" customHeight="1">
      <c r="A65" s="115"/>
      <c r="B65" s="116"/>
      <c r="F65" s="183"/>
      <c r="I65" s="183"/>
      <c r="L65" s="183"/>
      <c r="O65" s="183"/>
    </row>
    <row r="66" spans="2:17" ht="16.5" customHeight="1">
      <c r="B66" s="116"/>
      <c r="C66" s="38"/>
      <c r="D66" s="38"/>
      <c r="E66" s="38"/>
      <c r="F66" s="205"/>
      <c r="G66" s="38"/>
      <c r="H66" s="38"/>
      <c r="I66" s="205"/>
      <c r="J66" s="38"/>
      <c r="K66" s="38"/>
      <c r="L66" s="205"/>
      <c r="M66" s="38"/>
      <c r="N66" s="38"/>
      <c r="O66" s="205"/>
      <c r="P66" s="38"/>
      <c r="Q66" s="38"/>
    </row>
    <row r="67" spans="2:17" ht="12.75">
      <c r="B67" s="38"/>
      <c r="C67" s="38"/>
      <c r="D67" s="38"/>
      <c r="E67" s="38"/>
      <c r="F67" s="205"/>
      <c r="G67" s="38"/>
      <c r="H67" s="38"/>
      <c r="I67" s="205"/>
      <c r="J67" s="38"/>
      <c r="K67" s="38"/>
      <c r="L67" s="205"/>
      <c r="M67" s="38"/>
      <c r="N67" s="38"/>
      <c r="O67" s="205"/>
      <c r="P67" s="38"/>
      <c r="Q67" s="38"/>
    </row>
    <row r="68" ht="12.75">
      <c r="Q68" s="38"/>
    </row>
    <row r="95" spans="2:16" ht="12.75">
      <c r="B95" s="38"/>
      <c r="C95" s="38"/>
      <c r="D95" s="38"/>
      <c r="E95" s="38"/>
      <c r="F95" s="205"/>
      <c r="G95" s="38"/>
      <c r="H95" s="38"/>
      <c r="I95" s="205"/>
      <c r="J95" s="38"/>
      <c r="K95" s="38"/>
      <c r="L95" s="205"/>
      <c r="M95" s="38"/>
      <c r="N95" s="38"/>
      <c r="O95" s="205"/>
      <c r="P95" s="113" t="e">
        <f>'[2]weighted avr share'!$O$36/1000</f>
        <v>#REF!</v>
      </c>
    </row>
  </sheetData>
  <sheetProtection/>
  <mergeCells count="15">
    <mergeCell ref="D9:D12"/>
    <mergeCell ref="E9:E12"/>
    <mergeCell ref="P7:Q7"/>
    <mergeCell ref="P9:P12"/>
    <mergeCell ref="Q9:Q12"/>
    <mergeCell ref="D7:E7"/>
    <mergeCell ref="M7:N7"/>
    <mergeCell ref="G7:H7"/>
    <mergeCell ref="G9:G12"/>
    <mergeCell ref="H9:H12"/>
    <mergeCell ref="M9:M12"/>
    <mergeCell ref="N9:N12"/>
    <mergeCell ref="J7:K7"/>
    <mergeCell ref="J9:J12"/>
    <mergeCell ref="K9:K12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4" t="s">
        <v>150</v>
      </c>
      <c r="C1" s="133"/>
      <c r="D1" s="133"/>
    </row>
    <row r="2" spans="2:4" ht="15">
      <c r="B2" s="134" t="s">
        <v>151</v>
      </c>
      <c r="C2" s="133"/>
      <c r="D2" s="133"/>
    </row>
    <row r="3" spans="2:4" ht="15">
      <c r="B3" s="139"/>
      <c r="C3" s="139"/>
      <c r="D3" s="135">
        <v>2009</v>
      </c>
    </row>
    <row r="4" spans="2:4" ht="15">
      <c r="B4" s="135"/>
      <c r="C4" s="139"/>
      <c r="D4" s="135" t="s">
        <v>152</v>
      </c>
    </row>
    <row r="5" spans="2:4" ht="15">
      <c r="B5" s="139"/>
      <c r="C5" s="139"/>
      <c r="D5" s="135"/>
    </row>
    <row r="6" spans="2:4" ht="15">
      <c r="B6" s="139" t="s">
        <v>34</v>
      </c>
      <c r="C6" s="139"/>
      <c r="D6" s="135"/>
    </row>
    <row r="7" spans="2:4" ht="15">
      <c r="B7" s="139" t="s">
        <v>35</v>
      </c>
      <c r="C7" s="140"/>
      <c r="D7" s="136"/>
    </row>
    <row r="8" spans="2:4" ht="14.25">
      <c r="B8" s="140" t="s">
        <v>112</v>
      </c>
      <c r="C8" s="140">
        <v>4</v>
      </c>
      <c r="D8" s="141">
        <v>27432609</v>
      </c>
    </row>
    <row r="9" spans="2:4" ht="14.25">
      <c r="B9" s="140" t="s">
        <v>153</v>
      </c>
      <c r="C9" s="140">
        <v>5</v>
      </c>
      <c r="D9" s="141">
        <v>2517123</v>
      </c>
    </row>
    <row r="10" spans="2:4" ht="15" thickBot="1">
      <c r="B10" s="140" t="s">
        <v>154</v>
      </c>
      <c r="C10" s="140">
        <v>6</v>
      </c>
      <c r="D10" s="142">
        <v>373969</v>
      </c>
    </row>
    <row r="11" spans="2:4" ht="15" thickBot="1">
      <c r="B11" s="140"/>
      <c r="C11" s="140"/>
      <c r="D11" s="142">
        <v>30323701</v>
      </c>
    </row>
    <row r="12" spans="2:4" ht="14.25">
      <c r="B12" s="140"/>
      <c r="C12" s="140"/>
      <c r="D12" s="136"/>
    </row>
    <row r="13" spans="2:4" ht="15">
      <c r="B13" s="139" t="s">
        <v>155</v>
      </c>
      <c r="C13" s="140"/>
      <c r="D13" s="136"/>
    </row>
    <row r="14" spans="2:4" ht="14.25">
      <c r="B14" s="140" t="s">
        <v>54</v>
      </c>
      <c r="C14" s="140"/>
      <c r="D14" s="141">
        <v>5552350</v>
      </c>
    </row>
    <row r="15" spans="2:4" ht="14.25">
      <c r="B15" s="140" t="s">
        <v>53</v>
      </c>
      <c r="C15" s="140"/>
      <c r="D15" s="141">
        <v>16242532</v>
      </c>
    </row>
    <row r="16" spans="2:4" ht="14.25">
      <c r="B16" s="140" t="s">
        <v>113</v>
      </c>
      <c r="C16" s="140">
        <v>7</v>
      </c>
      <c r="D16" s="141">
        <v>16697047</v>
      </c>
    </row>
    <row r="17" spans="2:4" ht="14.25">
      <c r="B17" s="140" t="s">
        <v>156</v>
      </c>
      <c r="C17" s="140">
        <v>8</v>
      </c>
      <c r="D17" s="141">
        <v>969346</v>
      </c>
    </row>
    <row r="18" spans="2:4" ht="14.25">
      <c r="B18" s="140" t="s">
        <v>157</v>
      </c>
      <c r="C18" s="140"/>
      <c r="D18" s="141">
        <v>641291</v>
      </c>
    </row>
    <row r="19" spans="2:4" ht="14.25">
      <c r="B19" s="140" t="s">
        <v>158</v>
      </c>
      <c r="C19" s="140">
        <v>9</v>
      </c>
      <c r="D19" s="141">
        <v>8538068</v>
      </c>
    </row>
    <row r="20" spans="2:4" ht="14.25">
      <c r="B20" s="140" t="s">
        <v>81</v>
      </c>
      <c r="C20" s="140">
        <v>10</v>
      </c>
      <c r="D20" s="141">
        <v>19711108</v>
      </c>
    </row>
    <row r="21" spans="2:4" ht="15" thickBot="1">
      <c r="B21" s="140" t="s">
        <v>159</v>
      </c>
      <c r="C21" s="140"/>
      <c r="D21" s="142">
        <v>3199333</v>
      </c>
    </row>
    <row r="22" spans="2:4" ht="15" thickBot="1">
      <c r="B22" s="140"/>
      <c r="C22" s="140"/>
      <c r="D22" s="142">
        <v>71551075</v>
      </c>
    </row>
    <row r="23" spans="2:4" ht="14.25">
      <c r="B23" s="140"/>
      <c r="C23" s="140"/>
      <c r="D23" s="136"/>
    </row>
    <row r="24" spans="2:4" ht="15.75" thickBot="1">
      <c r="B24" s="139" t="s">
        <v>160</v>
      </c>
      <c r="C24" s="140"/>
      <c r="D24" s="143">
        <v>101874776</v>
      </c>
    </row>
    <row r="25" spans="2:4" ht="15" thickTop="1">
      <c r="B25" s="140"/>
      <c r="C25" s="140"/>
      <c r="D25" s="136"/>
    </row>
    <row r="26" spans="2:4" ht="15">
      <c r="B26" s="139" t="s">
        <v>37</v>
      </c>
      <c r="C26" s="140"/>
      <c r="D26" s="136"/>
    </row>
    <row r="27" spans="2:4" ht="30">
      <c r="B27" s="139" t="s">
        <v>161</v>
      </c>
      <c r="C27" s="140"/>
      <c r="D27" s="136"/>
    </row>
    <row r="28" spans="2:4" ht="14.25">
      <c r="B28" s="140" t="s">
        <v>57</v>
      </c>
      <c r="C28" s="140">
        <v>11</v>
      </c>
      <c r="D28" s="141">
        <v>45000000</v>
      </c>
    </row>
    <row r="29" spans="2:4" ht="15" thickBot="1">
      <c r="B29" s="140" t="s">
        <v>114</v>
      </c>
      <c r="C29" s="140">
        <v>12</v>
      </c>
      <c r="D29" s="142">
        <v>11565078</v>
      </c>
    </row>
    <row r="30" spans="2:4" ht="15.75" thickBot="1">
      <c r="B30" s="139" t="s">
        <v>62</v>
      </c>
      <c r="C30" s="140"/>
      <c r="D30" s="142">
        <v>56565078</v>
      </c>
    </row>
    <row r="31" spans="2:4" ht="14.25">
      <c r="B31" s="140"/>
      <c r="C31" s="140"/>
      <c r="D31" s="136"/>
    </row>
    <row r="32" spans="2:4" ht="15">
      <c r="B32" s="139" t="s">
        <v>38</v>
      </c>
      <c r="C32" s="140"/>
      <c r="D32" s="136"/>
    </row>
    <row r="33" spans="2:4" ht="14.25">
      <c r="B33" s="140" t="s">
        <v>58</v>
      </c>
      <c r="C33" s="140">
        <v>13</v>
      </c>
      <c r="D33" s="141">
        <v>345789</v>
      </c>
    </row>
    <row r="34" spans="2:4" ht="14.25">
      <c r="B34" s="140" t="s">
        <v>162</v>
      </c>
      <c r="C34" s="140">
        <v>14</v>
      </c>
      <c r="D34" s="141">
        <v>16586846</v>
      </c>
    </row>
    <row r="35" spans="2:4" ht="15" thickBot="1">
      <c r="B35" s="140" t="s">
        <v>116</v>
      </c>
      <c r="C35" s="140">
        <v>15</v>
      </c>
      <c r="D35" s="142">
        <v>1143700</v>
      </c>
    </row>
    <row r="36" spans="2:4" ht="15" thickBot="1">
      <c r="B36" s="140"/>
      <c r="C36" s="140"/>
      <c r="D36" s="142">
        <v>18076335</v>
      </c>
    </row>
    <row r="37" spans="2:4" ht="14.25">
      <c r="B37" s="140"/>
      <c r="C37" s="140"/>
      <c r="D37" s="136"/>
    </row>
    <row r="38" spans="2:4" ht="15">
      <c r="B38" s="139" t="s">
        <v>163</v>
      </c>
      <c r="C38" s="140"/>
      <c r="D38" s="136"/>
    </row>
    <row r="39" spans="2:4" ht="14.25">
      <c r="B39" s="140" t="s">
        <v>164</v>
      </c>
      <c r="C39" s="140">
        <v>16</v>
      </c>
      <c r="D39" s="141">
        <v>8748757</v>
      </c>
    </row>
    <row r="40" spans="2:4" ht="14.25">
      <c r="B40" s="140" t="s">
        <v>117</v>
      </c>
      <c r="C40" s="140"/>
      <c r="D40" s="141">
        <v>2966428</v>
      </c>
    </row>
    <row r="41" spans="2:4" ht="14.25">
      <c r="B41" s="140" t="s">
        <v>58</v>
      </c>
      <c r="C41" s="140">
        <v>13</v>
      </c>
      <c r="D41" s="141">
        <v>127863</v>
      </c>
    </row>
    <row r="42" spans="2:4" ht="14.25">
      <c r="B42" s="140" t="s">
        <v>162</v>
      </c>
      <c r="C42" s="140">
        <v>14</v>
      </c>
      <c r="D42" s="141">
        <v>14173873</v>
      </c>
    </row>
    <row r="43" spans="2:4" ht="15" thickBot="1">
      <c r="B43" s="140" t="s">
        <v>165</v>
      </c>
      <c r="C43" s="140"/>
      <c r="D43" s="142">
        <v>1216442</v>
      </c>
    </row>
    <row r="44" spans="2:4" ht="15" thickBot="1">
      <c r="B44" s="140"/>
      <c r="C44" s="140"/>
      <c r="D44" s="142">
        <v>27233363</v>
      </c>
    </row>
    <row r="45" spans="2:4" ht="14.25">
      <c r="B45" s="140"/>
      <c r="C45" s="140"/>
      <c r="D45" s="136"/>
    </row>
    <row r="46" spans="2:4" ht="15.75" thickBot="1">
      <c r="B46" s="139" t="s">
        <v>166</v>
      </c>
      <c r="C46" s="140"/>
      <c r="D46" s="142">
        <v>45309698</v>
      </c>
    </row>
    <row r="47" spans="2:4" ht="15.75" thickBot="1">
      <c r="B47" s="139" t="s">
        <v>167</v>
      </c>
      <c r="C47" s="140"/>
      <c r="D47" s="143">
        <v>101874776</v>
      </c>
    </row>
    <row r="48" spans="2:4" ht="13.5" thickTop="1">
      <c r="B48" s="137"/>
      <c r="C48" s="137"/>
      <c r="D48" s="144"/>
    </row>
    <row r="49" ht="14.25">
      <c r="B49" s="1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5">
      <selection activeCell="B32" sqref="B32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62" t="str">
        <f>+'Income statement'!B1</f>
        <v>HANDAL RESOURCES  BERHAD (816839-X)</v>
      </c>
      <c r="C1" s="262"/>
      <c r="D1" s="262"/>
      <c r="E1" s="262"/>
      <c r="F1" s="262"/>
      <c r="G1" s="262"/>
      <c r="H1" s="262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211</v>
      </c>
      <c r="C3" s="68"/>
      <c r="D3" s="68"/>
      <c r="E3" s="68"/>
      <c r="F3" s="68"/>
      <c r="G3" s="68"/>
      <c r="H3" s="68"/>
    </row>
    <row r="4" s="69" customFormat="1" ht="15.75">
      <c r="B4" s="67" t="s">
        <v>280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278</v>
      </c>
      <c r="F8" s="70"/>
      <c r="G8" s="71" t="s">
        <v>272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6.5" customHeight="1">
      <c r="B12" s="67" t="s">
        <v>35</v>
      </c>
      <c r="C12" s="103"/>
      <c r="D12" s="68"/>
      <c r="E12" s="68"/>
      <c r="F12" s="68"/>
      <c r="G12" s="68"/>
    </row>
    <row r="13" spans="2:8" s="69" customFormat="1" ht="16.5" customHeight="1">
      <c r="B13" s="72" t="s">
        <v>112</v>
      </c>
      <c r="C13" s="104">
        <f>'[3]1conso-YTD'!$N$65</f>
        <v>27678.76659</v>
      </c>
      <c r="D13" s="73"/>
      <c r="E13" s="104">
        <f>'[8]1conso-YTD (2)'!$U$70</f>
        <v>68063.18020000002</v>
      </c>
      <c r="F13" s="239"/>
      <c r="G13" s="250">
        <f>68063175/1000</f>
        <v>68063.175</v>
      </c>
      <c r="H13" s="74"/>
    </row>
    <row r="14" spans="2:8" s="69" customFormat="1" ht="16.5" customHeight="1">
      <c r="B14" s="72" t="s">
        <v>239</v>
      </c>
      <c r="C14" s="104"/>
      <c r="D14" s="73"/>
      <c r="E14" s="104">
        <f>'[8]1conso-YTD (2)'!$U$72</f>
        <v>11958.567</v>
      </c>
      <c r="F14" s="239"/>
      <c r="G14" s="250">
        <v>11958.567</v>
      </c>
      <c r="H14" s="74"/>
    </row>
    <row r="15" spans="2:8" s="69" customFormat="1" ht="16.5" customHeight="1">
      <c r="B15" s="72" t="s">
        <v>259</v>
      </c>
      <c r="C15" s="104"/>
      <c r="D15" s="73"/>
      <c r="E15" s="104">
        <f>'[8]1conso-YTD (2)'!$U$75</f>
        <v>1.434</v>
      </c>
      <c r="F15" s="239"/>
      <c r="G15" s="250">
        <v>1</v>
      </c>
      <c r="H15" s="74"/>
    </row>
    <row r="16" spans="2:8" s="69" customFormat="1" ht="16.5" customHeight="1">
      <c r="B16" s="72" t="s">
        <v>251</v>
      </c>
      <c r="C16" s="104"/>
      <c r="D16" s="73"/>
      <c r="E16" s="104">
        <f>'[8]1conso-YTD (2)'!$U$77</f>
        <v>200.45300000000003</v>
      </c>
      <c r="F16" s="239"/>
      <c r="G16" s="250">
        <f>200453/1000</f>
        <v>200.453</v>
      </c>
      <c r="H16" s="74"/>
    </row>
    <row r="17" spans="2:8" s="69" customFormat="1" ht="16.5" customHeight="1" thickBot="1">
      <c r="B17" s="72" t="s">
        <v>146</v>
      </c>
      <c r="C17" s="105">
        <f>'[3]1conso-YTD'!$N$71</f>
        <v>373.97199</v>
      </c>
      <c r="D17" s="73"/>
      <c r="E17" s="105">
        <f>'[8]1conso-YTD (2)'!$U$78</f>
        <v>373.969</v>
      </c>
      <c r="F17" s="239"/>
      <c r="G17" s="114">
        <v>373.969</v>
      </c>
      <c r="H17" s="75"/>
    </row>
    <row r="18" spans="2:8" s="69" customFormat="1" ht="16.5" thickBot="1">
      <c r="B18" s="76"/>
      <c r="C18" s="105">
        <f>SUM(C13:C17)</f>
        <v>28052.738579999997</v>
      </c>
      <c r="D18" s="73"/>
      <c r="E18" s="112">
        <f>SUM(E13:E17)-1</f>
        <v>80596.6032</v>
      </c>
      <c r="F18" s="239"/>
      <c r="G18" s="105">
        <f>SUM(G13:G17)</f>
        <v>80597.16399999999</v>
      </c>
      <c r="H18" s="75"/>
    </row>
    <row r="19" spans="2:8" s="69" customFormat="1" ht="15">
      <c r="B19" s="72"/>
      <c r="C19" s="106"/>
      <c r="D19" s="77"/>
      <c r="E19" s="211"/>
      <c r="F19" s="240"/>
      <c r="G19" s="211"/>
      <c r="H19" s="75"/>
    </row>
    <row r="20" spans="2:8" s="69" customFormat="1" ht="15">
      <c r="B20" s="72"/>
      <c r="C20" s="106"/>
      <c r="D20" s="77"/>
      <c r="E20" s="211"/>
      <c r="F20" s="240"/>
      <c r="G20" s="211"/>
      <c r="H20" s="75"/>
    </row>
    <row r="21" spans="2:8" s="69" customFormat="1" ht="15.75">
      <c r="B21" s="76" t="s">
        <v>4</v>
      </c>
      <c r="C21" s="106"/>
      <c r="D21" s="77"/>
      <c r="E21" s="211"/>
      <c r="F21" s="240"/>
      <c r="G21" s="211"/>
      <c r="H21" s="75"/>
    </row>
    <row r="22" spans="2:8" s="69" customFormat="1" ht="15">
      <c r="B22" s="75" t="s">
        <v>54</v>
      </c>
      <c r="C22" s="104">
        <f>'[3]1conso-YTD'!$N$75</f>
        <v>5239.74082</v>
      </c>
      <c r="D22" s="73"/>
      <c r="E22" s="104">
        <f>'[8]1conso-YTD (2)'!$U$83</f>
        <v>9364.22111</v>
      </c>
      <c r="F22" s="239"/>
      <c r="G22" s="256">
        <f>9559949/1000</f>
        <v>9559.949</v>
      </c>
      <c r="H22" s="75"/>
    </row>
    <row r="23" spans="2:8" s="69" customFormat="1" ht="15">
      <c r="B23" s="75" t="s">
        <v>53</v>
      </c>
      <c r="C23" s="104">
        <f>'[3]1conso-YTD'!$N$77</f>
        <v>17984.309699999994</v>
      </c>
      <c r="D23" s="73"/>
      <c r="E23" s="104">
        <f>'[8]1conso-YTD (2)'!$U$84</f>
        <v>19215.161200000002</v>
      </c>
      <c r="F23" s="239"/>
      <c r="G23" s="256">
        <f>11662911/1000</f>
        <v>11662.911</v>
      </c>
      <c r="H23" s="75"/>
    </row>
    <row r="24" spans="2:8" s="69" customFormat="1" ht="15">
      <c r="B24" s="75" t="s">
        <v>113</v>
      </c>
      <c r="C24" s="104">
        <f>'[3]1conso-YTD'!$N$78</f>
        <v>18688.837959999997</v>
      </c>
      <c r="D24" s="73"/>
      <c r="E24" s="104">
        <f>'[8]1conso-YTD (2)'!$U$91</f>
        <v>39630.09125</v>
      </c>
      <c r="F24" s="239"/>
      <c r="G24" s="256">
        <v>33972</v>
      </c>
      <c r="H24" s="75"/>
    </row>
    <row r="25" spans="2:8" s="69" customFormat="1" ht="15">
      <c r="B25" s="75" t="s">
        <v>240</v>
      </c>
      <c r="C25" s="104">
        <f>'[3]1conso-YTD'!$N$76</f>
        <v>199</v>
      </c>
      <c r="D25" s="73"/>
      <c r="E25" s="243">
        <f>'[8]1conso-YTD (2)'!$U$87</f>
        <v>2792.3831099999998</v>
      </c>
      <c r="F25" s="239"/>
      <c r="G25" s="256">
        <v>922</v>
      </c>
      <c r="H25" s="75"/>
    </row>
    <row r="26" spans="2:8" s="69" customFormat="1" ht="15">
      <c r="B26" s="75" t="s">
        <v>55</v>
      </c>
      <c r="C26" s="104">
        <f>'[3]1conso-YTD'!$N$80+'[3]1conso-YTD'!$N$81+750</f>
        <v>1382.37885</v>
      </c>
      <c r="D26" s="73"/>
      <c r="E26" s="104">
        <f>'[8]1conso-YTD (2)'!$U$88+'[8]1conso-YTD (2)'!$U$93+'[8]1conso-YTD (2)'!$U$94+'[8]1conso-YTD (2)'!$U$95</f>
        <v>837.2610099999999</v>
      </c>
      <c r="F26" s="239"/>
      <c r="G26" s="256">
        <v>921</v>
      </c>
      <c r="H26" s="75"/>
    </row>
    <row r="27" spans="2:8" s="69" customFormat="1" ht="15">
      <c r="B27" s="75" t="s">
        <v>241</v>
      </c>
      <c r="C27" s="104"/>
      <c r="D27" s="73"/>
      <c r="E27" s="244">
        <f>'[8]1conso-YTD (2)'!$U$113</f>
        <v>1241.69041</v>
      </c>
      <c r="F27" s="239"/>
      <c r="G27" s="256">
        <v>5484</v>
      </c>
      <c r="H27" s="75"/>
    </row>
    <row r="28" spans="2:8" s="69" customFormat="1" ht="15">
      <c r="B28" s="75" t="s">
        <v>158</v>
      </c>
      <c r="C28" s="104">
        <f>'[3]1conso-YTD'!$N$82</f>
        <v>29349.86621</v>
      </c>
      <c r="D28" s="73"/>
      <c r="E28" s="104">
        <f>'[8]1conso-YTD (2)'!$U$110</f>
        <v>177.41302</v>
      </c>
      <c r="F28" s="239"/>
      <c r="G28" s="256">
        <v>176</v>
      </c>
      <c r="H28" s="75"/>
    </row>
    <row r="29" spans="2:8" s="69" customFormat="1" ht="15">
      <c r="B29" s="75" t="s">
        <v>242</v>
      </c>
      <c r="C29" s="104"/>
      <c r="D29" s="73"/>
      <c r="E29" s="104">
        <f>'[8]1conso-YTD (2)'!$U$111</f>
        <v>12671.746770000002</v>
      </c>
      <c r="F29" s="239"/>
      <c r="G29" s="256">
        <v>14215</v>
      </c>
      <c r="H29" s="75"/>
    </row>
    <row r="30" spans="2:8" s="69" customFormat="1" ht="15.75" thickBot="1">
      <c r="B30" s="75" t="s">
        <v>143</v>
      </c>
      <c r="C30" s="114">
        <f>'[3]1conso-YTD'!$N$83</f>
        <v>3943.64952</v>
      </c>
      <c r="D30" s="73"/>
      <c r="E30" s="104">
        <f>'[8]1conso-YTD (2)'!$U$112</f>
        <v>2336.40563</v>
      </c>
      <c r="F30" s="239"/>
      <c r="G30" s="256">
        <v>3824</v>
      </c>
      <c r="H30" s="75"/>
    </row>
    <row r="31" spans="2:8" s="69" customFormat="1" ht="15.75" thickBot="1">
      <c r="B31" s="72" t="s">
        <v>258</v>
      </c>
      <c r="C31" s="106"/>
      <c r="D31" s="77"/>
      <c r="E31" s="245">
        <f>'[8]1conso-YTD (2)'!$U$109</f>
        <v>571.50056</v>
      </c>
      <c r="F31" s="240"/>
      <c r="G31" s="114">
        <v>720</v>
      </c>
      <c r="H31" s="75"/>
    </row>
    <row r="32" spans="2:8" s="69" customFormat="1" ht="15.75" thickBot="1">
      <c r="B32" s="72"/>
      <c r="C32" s="105">
        <f>SUM(C22:C30)+0.5</f>
        <v>76788.28306</v>
      </c>
      <c r="D32" s="77"/>
      <c r="E32" s="112">
        <f>SUM(E22:E31)</f>
        <v>88837.87406999999</v>
      </c>
      <c r="F32" s="240"/>
      <c r="G32" s="105">
        <f>SUM(G22:G31)-1</f>
        <v>81455.86</v>
      </c>
      <c r="H32" s="75"/>
    </row>
    <row r="33" spans="2:8" s="69" customFormat="1" ht="15">
      <c r="B33" s="72"/>
      <c r="C33" s="106"/>
      <c r="D33" s="77"/>
      <c r="E33" s="106"/>
      <c r="F33" s="240"/>
      <c r="G33" s="106"/>
      <c r="H33" s="75"/>
    </row>
    <row r="34" spans="2:8" s="69" customFormat="1" ht="16.5" thickBot="1">
      <c r="B34" s="76" t="s">
        <v>36</v>
      </c>
      <c r="C34" s="107">
        <f>+C32+C18</f>
        <v>104841.02163999999</v>
      </c>
      <c r="D34" s="77"/>
      <c r="E34" s="107">
        <f>+E32+E18+1</f>
        <v>169435.47726999997</v>
      </c>
      <c r="F34" s="240"/>
      <c r="G34" s="107">
        <f>G18+G32</f>
        <v>162053.02399999998</v>
      </c>
      <c r="H34" s="75"/>
    </row>
    <row r="35" spans="2:8" s="69" customFormat="1" ht="15.75" thickTop="1">
      <c r="B35" s="72"/>
      <c r="C35" s="106"/>
      <c r="D35" s="77"/>
      <c r="E35" s="106"/>
      <c r="F35" s="240"/>
      <c r="G35" s="106"/>
      <c r="H35" s="75"/>
    </row>
    <row r="36" spans="2:8" s="69" customFormat="1" ht="15.75">
      <c r="B36" s="76" t="s">
        <v>37</v>
      </c>
      <c r="C36" s="106"/>
      <c r="D36" s="77"/>
      <c r="E36" s="211"/>
      <c r="F36" s="240"/>
      <c r="G36" s="211"/>
      <c r="H36" s="75"/>
    </row>
    <row r="37" spans="2:8" s="69" customFormat="1" ht="15.75">
      <c r="B37" s="76" t="s">
        <v>56</v>
      </c>
      <c r="C37" s="106"/>
      <c r="D37" s="77"/>
      <c r="E37" s="211"/>
      <c r="F37" s="240"/>
      <c r="G37" s="211"/>
      <c r="H37" s="75"/>
    </row>
    <row r="38" spans="2:8" s="69" customFormat="1" ht="15">
      <c r="B38" s="75" t="s">
        <v>57</v>
      </c>
      <c r="C38" s="104">
        <f>'[3]1conso-YTD'!$N$95</f>
        <v>45000</v>
      </c>
      <c r="D38" s="73"/>
      <c r="E38" s="104">
        <f>'[8]1conso-YTD (2)'!$U$122</f>
        <v>79999.99999999999</v>
      </c>
      <c r="F38" s="239"/>
      <c r="G38" s="250">
        <v>79999.99999999999</v>
      </c>
      <c r="H38" s="75"/>
    </row>
    <row r="39" spans="2:8" s="69" customFormat="1" ht="15">
      <c r="B39" s="75" t="s">
        <v>245</v>
      </c>
      <c r="C39" s="104"/>
      <c r="D39" s="73"/>
      <c r="E39" s="257">
        <f>'[8]1conso-YTD (2)'!$U$123</f>
        <v>0</v>
      </c>
      <c r="F39" s="239"/>
      <c r="G39" s="250">
        <v>0</v>
      </c>
      <c r="H39" s="75"/>
    </row>
    <row r="40" spans="2:8" s="69" customFormat="1" ht="15">
      <c r="B40" s="75" t="s">
        <v>10</v>
      </c>
      <c r="C40" s="104"/>
      <c r="D40" s="73"/>
      <c r="E40" s="104">
        <f>'[8]1conso-YTD (2)'!$U$125</f>
        <v>28.99172</v>
      </c>
      <c r="F40" s="239"/>
      <c r="G40" s="244">
        <v>29</v>
      </c>
      <c r="H40" s="75"/>
    </row>
    <row r="41" spans="2:8" s="69" customFormat="1" ht="15.75" thickBot="1">
      <c r="B41" s="75" t="s">
        <v>114</v>
      </c>
      <c r="C41" s="105">
        <f>'[3]1conso-YTD'!$N$98+750</f>
        <v>12847.421649</v>
      </c>
      <c r="D41" s="73"/>
      <c r="E41" s="246">
        <f>'[8]1conso-YTD (2)'!$U$126+'[8]1conso-YTD (2)'!$U$127</f>
        <v>21148.199824191983</v>
      </c>
      <c r="F41" s="239"/>
      <c r="G41" s="250">
        <v>20595</v>
      </c>
      <c r="H41" s="75"/>
    </row>
    <row r="42" spans="2:8" s="69" customFormat="1" ht="15">
      <c r="B42" s="75" t="s">
        <v>148</v>
      </c>
      <c r="C42" s="131">
        <f>SUM(C38:C41)</f>
        <v>57847.421648999996</v>
      </c>
      <c r="D42" s="77"/>
      <c r="E42" s="247">
        <f>SUM(E38:E41)</f>
        <v>101177.19154419197</v>
      </c>
      <c r="F42" s="240"/>
      <c r="G42" s="131">
        <f>SUM(G38:G41)</f>
        <v>100623.99999999999</v>
      </c>
      <c r="H42" s="75"/>
    </row>
    <row r="43" spans="2:8" s="69" customFormat="1" ht="15">
      <c r="B43" s="75" t="s">
        <v>149</v>
      </c>
      <c r="C43" s="104">
        <f>'[3]1conso-YTD'!$N$101</f>
        <v>-2.369579</v>
      </c>
      <c r="D43" s="73"/>
      <c r="E43" s="248">
        <f>'[8]1conso-YTD (2)'!$U$129</f>
        <v>-14.884254192</v>
      </c>
      <c r="F43" s="239"/>
      <c r="G43" s="250">
        <v>5</v>
      </c>
      <c r="H43" s="75"/>
    </row>
    <row r="44" spans="2:8" s="69" customFormat="1" ht="15.75" thickBot="1">
      <c r="B44" s="75" t="s">
        <v>120</v>
      </c>
      <c r="C44" s="132">
        <f>SUM(C42:C43)</f>
        <v>57845.05207</v>
      </c>
      <c r="D44" s="77"/>
      <c r="E44" s="249">
        <f>SUM(E42:E43)</f>
        <v>101162.30728999997</v>
      </c>
      <c r="F44" s="240"/>
      <c r="G44" s="132">
        <f>SUM(G42:G43)</f>
        <v>100628.99999999999</v>
      </c>
      <c r="H44" s="75"/>
    </row>
    <row r="45" spans="2:8" s="69" customFormat="1" ht="15.75">
      <c r="B45" s="78"/>
      <c r="C45" s="104"/>
      <c r="D45" s="77"/>
      <c r="E45" s="211"/>
      <c r="F45" s="240"/>
      <c r="G45" s="210"/>
      <c r="H45" s="75"/>
    </row>
    <row r="46" spans="2:8" s="69" customFormat="1" ht="15.75">
      <c r="B46" s="78" t="s">
        <v>38</v>
      </c>
      <c r="C46" s="104"/>
      <c r="D46" s="77"/>
      <c r="E46" s="211"/>
      <c r="F46" s="240"/>
      <c r="G46" s="210"/>
      <c r="H46" s="75"/>
    </row>
    <row r="47" spans="2:8" s="69" customFormat="1" ht="15">
      <c r="B47" s="75" t="s">
        <v>58</v>
      </c>
      <c r="C47" s="104">
        <f>'[3]1conso-YTD'!$N$106</f>
        <v>128</v>
      </c>
      <c r="D47" s="73"/>
      <c r="E47" s="104">
        <f>'[8]1conso-YTD (2)'!$U$134</f>
        <v>118.972</v>
      </c>
      <c r="F47" s="239"/>
      <c r="G47" s="250">
        <v>119</v>
      </c>
      <c r="H47" s="75"/>
    </row>
    <row r="48" spans="2:8" s="69" customFormat="1" ht="15">
      <c r="B48" s="75" t="s">
        <v>115</v>
      </c>
      <c r="C48" s="104">
        <f>'[3]1conso-YTD'!$N$107-5000</f>
        <v>16845.727010000002</v>
      </c>
      <c r="D48" s="73"/>
      <c r="E48" s="104">
        <f>'[8]1conso-YTD (2)'!$U$135</f>
        <v>23167.983529999998</v>
      </c>
      <c r="F48" s="239"/>
      <c r="G48" s="250">
        <v>17273</v>
      </c>
      <c r="H48" s="75"/>
    </row>
    <row r="49" spans="2:8" s="69" customFormat="1" ht="15.75" thickBot="1">
      <c r="B49" s="75" t="s">
        <v>116</v>
      </c>
      <c r="C49" s="105">
        <f>'[3]1conso-YTD'!$N$108</f>
        <v>1143.5</v>
      </c>
      <c r="D49" s="73"/>
      <c r="E49" s="105">
        <f>'[8]1conso-YTD (2)'!$U$136</f>
        <v>3315.366</v>
      </c>
      <c r="F49" s="239"/>
      <c r="G49" s="250">
        <v>3128</v>
      </c>
      <c r="H49" s="75"/>
    </row>
    <row r="50" spans="2:8" s="69" customFormat="1" ht="16.5" thickBot="1">
      <c r="B50" s="78"/>
      <c r="C50" s="105">
        <f>SUM(C47:C49)</f>
        <v>18117.227010000002</v>
      </c>
      <c r="D50" s="77"/>
      <c r="E50" s="112">
        <f>SUM(E47:E49)</f>
        <v>26602.32153</v>
      </c>
      <c r="F50" s="240"/>
      <c r="G50" s="112">
        <f>SUM(G47:G49)</f>
        <v>20520</v>
      </c>
      <c r="H50" s="75"/>
    </row>
    <row r="51" spans="2:8" s="69" customFormat="1" ht="15.75">
      <c r="B51" s="78"/>
      <c r="C51" s="104"/>
      <c r="D51" s="77"/>
      <c r="E51" s="211"/>
      <c r="F51" s="240"/>
      <c r="G51" s="210"/>
      <c r="H51" s="75"/>
    </row>
    <row r="52" spans="2:8" s="69" customFormat="1" ht="15.75">
      <c r="B52" s="78" t="s">
        <v>39</v>
      </c>
      <c r="C52" s="106"/>
      <c r="D52" s="77"/>
      <c r="E52" s="211"/>
      <c r="F52" s="240"/>
      <c r="G52" s="211"/>
      <c r="H52" s="75"/>
    </row>
    <row r="53" spans="2:8" s="69" customFormat="1" ht="15">
      <c r="B53" s="72" t="s">
        <v>59</v>
      </c>
      <c r="C53" s="104">
        <f>'[3]1conso-YTD'!$N$111</f>
        <v>8518.03714</v>
      </c>
      <c r="D53" s="73"/>
      <c r="E53" s="104">
        <f>'[8]1conso-YTD (2)'!$U$142</f>
        <v>16649.71007</v>
      </c>
      <c r="F53" s="239"/>
      <c r="G53" s="250">
        <v>12371</v>
      </c>
      <c r="H53" s="75"/>
    </row>
    <row r="54" spans="2:8" s="69" customFormat="1" ht="15">
      <c r="B54" s="72" t="s">
        <v>117</v>
      </c>
      <c r="C54" s="104">
        <f>'[3]1conso-YTD'!$N$112</f>
        <v>2186.2584</v>
      </c>
      <c r="D54" s="73"/>
      <c r="E54" s="248">
        <f>'[8]1conso-YTD (2)'!$U$143+'[8]1conso-YTD (2)'!$U$144</f>
        <v>8972.696460000001</v>
      </c>
      <c r="F54" s="239"/>
      <c r="G54" s="250">
        <v>3246</v>
      </c>
      <c r="H54" s="75"/>
    </row>
    <row r="55" spans="2:8" s="69" customFormat="1" ht="15">
      <c r="B55" s="72" t="s">
        <v>58</v>
      </c>
      <c r="C55" s="104">
        <f>'[3]1conso-YTD'!$N$113</f>
        <v>311.98563</v>
      </c>
      <c r="D55" s="73"/>
      <c r="E55" s="248">
        <f>'[8]1conso-YTD (2)'!$U$153</f>
        <v>98.37419000000001</v>
      </c>
      <c r="F55" s="239"/>
      <c r="G55" s="250">
        <v>132</v>
      </c>
      <c r="H55" s="75"/>
    </row>
    <row r="56" spans="2:8" s="69" customFormat="1" ht="15">
      <c r="B56" s="75" t="s">
        <v>276</v>
      </c>
      <c r="C56" s="104"/>
      <c r="D56" s="73"/>
      <c r="E56" s="248">
        <f>'[8]1conso-YTD (2)'!$U$139</f>
        <v>0</v>
      </c>
      <c r="F56" s="239"/>
      <c r="G56" s="244">
        <v>2620</v>
      </c>
      <c r="H56" s="75"/>
    </row>
    <row r="57" spans="2:8" s="69" customFormat="1" ht="15">
      <c r="B57" s="72" t="s">
        <v>60</v>
      </c>
      <c r="C57" s="104">
        <f>'[3]1conso-YTD'!$N$114+5000</f>
        <v>17328.22855</v>
      </c>
      <c r="D57" s="73"/>
      <c r="E57" s="104">
        <f>'[8]1conso-YTD (2)'!$U$154</f>
        <v>15659.87214</v>
      </c>
      <c r="F57" s="239"/>
      <c r="G57" s="250">
        <v>22535</v>
      </c>
      <c r="H57" s="75"/>
    </row>
    <row r="58" spans="2:8" s="69" customFormat="1" ht="15.75" thickBot="1">
      <c r="B58" s="72" t="s">
        <v>61</v>
      </c>
      <c r="C58" s="104">
        <f>'[3]1conso-YTD'!$N$115</f>
        <v>1489.59725</v>
      </c>
      <c r="D58" s="73"/>
      <c r="E58" s="250">
        <f>'[8]1conso-YTD (2)'!$U$155</f>
        <v>290.1</v>
      </c>
      <c r="F58" s="239"/>
      <c r="G58" s="250">
        <v>0</v>
      </c>
      <c r="H58" s="75"/>
    </row>
    <row r="59" spans="2:8" s="69" customFormat="1" ht="15.75" thickBot="1">
      <c r="B59" s="75"/>
      <c r="C59" s="112">
        <f>SUM(C53:C58)</f>
        <v>29834.10697</v>
      </c>
      <c r="D59" s="77"/>
      <c r="E59" s="112">
        <f>SUM(E53:E58)</f>
        <v>41670.75286</v>
      </c>
      <c r="F59" s="240"/>
      <c r="G59" s="112">
        <f>SUM(G53:G58)</f>
        <v>40904</v>
      </c>
      <c r="H59" s="75"/>
    </row>
    <row r="60" spans="2:8" s="69" customFormat="1" ht="12.75" customHeight="1">
      <c r="B60" s="75"/>
      <c r="C60" s="106"/>
      <c r="D60" s="77"/>
      <c r="E60" s="106"/>
      <c r="F60" s="240"/>
      <c r="G60" s="106"/>
      <c r="H60" s="75"/>
    </row>
    <row r="61" spans="2:8" s="69" customFormat="1" ht="15.75">
      <c r="B61" s="78" t="s">
        <v>40</v>
      </c>
      <c r="C61" s="106">
        <f>+C59+C50</f>
        <v>47951.33398</v>
      </c>
      <c r="D61" s="77"/>
      <c r="E61" s="106">
        <f>+E59+E50</f>
        <v>68273.07439</v>
      </c>
      <c r="F61" s="240"/>
      <c r="G61" s="250">
        <v>61424</v>
      </c>
      <c r="H61" s="75"/>
    </row>
    <row r="62" spans="3:8" s="69" customFormat="1" ht="12.75" customHeight="1">
      <c r="C62" s="106"/>
      <c r="D62" s="77"/>
      <c r="E62" s="106"/>
      <c r="F62" s="240"/>
      <c r="G62" s="106"/>
      <c r="H62" s="75"/>
    </row>
    <row r="63" spans="2:8" s="69" customFormat="1" ht="16.5" thickBot="1">
      <c r="B63" s="67" t="s">
        <v>41</v>
      </c>
      <c r="C63" s="107">
        <f>C61+C44</f>
        <v>105796.38605</v>
      </c>
      <c r="D63" s="70"/>
      <c r="E63" s="107">
        <f>E61+E44</f>
        <v>169435.38167999996</v>
      </c>
      <c r="F63" s="241"/>
      <c r="G63" s="107">
        <f>G44+G61</f>
        <v>162053</v>
      </c>
      <c r="H63" s="75"/>
    </row>
    <row r="64" spans="2:8" s="69" customFormat="1" ht="16.5" thickTop="1">
      <c r="B64" s="67"/>
      <c r="C64" s="73"/>
      <c r="D64" s="77"/>
      <c r="E64" s="77"/>
      <c r="F64" s="240"/>
      <c r="G64" s="73"/>
      <c r="H64" s="75"/>
    </row>
    <row r="65" spans="2:8" s="69" customFormat="1" ht="15.75">
      <c r="B65" s="67"/>
      <c r="D65" s="73"/>
      <c r="E65" s="239"/>
      <c r="F65" s="239"/>
      <c r="G65" s="239"/>
      <c r="H65" s="75"/>
    </row>
    <row r="66" spans="2:8" s="69" customFormat="1" ht="15" hidden="1">
      <c r="B66" s="69" t="s">
        <v>6</v>
      </c>
      <c r="C66" s="79" t="e">
        <f>+(+#REF!-C19+#REF!)/43560</f>
        <v>#REF!</v>
      </c>
      <c r="D66" s="79"/>
      <c r="E66" s="242"/>
      <c r="F66" s="242"/>
      <c r="G66" s="242" t="e">
        <f>+(+#REF!-G19+#REF!)/43560</f>
        <v>#REF!</v>
      </c>
      <c r="H66" s="75"/>
    </row>
    <row r="67" spans="2:8" s="69" customFormat="1" ht="15">
      <c r="B67" s="263" t="s">
        <v>127</v>
      </c>
      <c r="C67" s="79"/>
      <c r="D67" s="79"/>
      <c r="E67" s="242"/>
      <c r="F67" s="242"/>
      <c r="G67" s="242"/>
      <c r="H67" s="75"/>
    </row>
    <row r="68" spans="2:8" s="69" customFormat="1" ht="15">
      <c r="B68" s="263"/>
      <c r="C68" s="79">
        <f>+C42/90000</f>
        <v>0.6427491294333333</v>
      </c>
      <c r="D68" s="79"/>
      <c r="E68" s="79">
        <f>+E42/159860</f>
        <v>0.6329112444901287</v>
      </c>
      <c r="F68" s="242"/>
      <c r="G68" s="79">
        <f>G42/159860</f>
        <v>0.6294507694232453</v>
      </c>
      <c r="H68" s="75"/>
    </row>
    <row r="69" s="69" customFormat="1" ht="9.75" customHeight="1">
      <c r="B69" s="80"/>
    </row>
    <row r="70" spans="1:11" s="69" customFormat="1" ht="15">
      <c r="A70" s="81" t="s">
        <v>125</v>
      </c>
      <c r="B70" s="69" t="s">
        <v>212</v>
      </c>
      <c r="C70" s="82"/>
      <c r="D70" s="82"/>
      <c r="E70" s="82"/>
      <c r="F70" s="82"/>
      <c r="G70" s="82"/>
      <c r="H70" s="82"/>
      <c r="I70" s="82"/>
      <c r="J70" s="82"/>
      <c r="K70" s="82"/>
    </row>
    <row r="71" spans="2:11" s="69" customFormat="1" ht="15">
      <c r="B71" s="69" t="s">
        <v>281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2:11" s="69" customFormat="1" ht="15">
      <c r="B72" s="75"/>
      <c r="C72" s="82"/>
      <c r="D72" s="82"/>
      <c r="E72" s="82"/>
      <c r="F72" s="82"/>
      <c r="G72" s="82"/>
      <c r="H72" s="82"/>
      <c r="I72" s="82"/>
      <c r="J72" s="82"/>
      <c r="K72" s="82"/>
    </row>
    <row r="73" spans="1:9" s="69" customFormat="1" ht="15">
      <c r="A73" s="81" t="s">
        <v>126</v>
      </c>
      <c r="B73" s="69" t="s">
        <v>128</v>
      </c>
      <c r="C73" s="83"/>
      <c r="D73" s="83"/>
      <c r="E73" s="83"/>
      <c r="F73" s="83"/>
      <c r="G73" s="83"/>
      <c r="H73" s="83"/>
      <c r="I73" s="83"/>
    </row>
    <row r="74" spans="2:9" s="69" customFormat="1" ht="15">
      <c r="B74" s="84" t="s">
        <v>237</v>
      </c>
      <c r="C74" s="83"/>
      <c r="D74" s="83"/>
      <c r="E74" s="83"/>
      <c r="F74" s="83"/>
      <c r="G74" s="83"/>
      <c r="H74" s="83"/>
      <c r="I74" s="83"/>
    </row>
    <row r="75" spans="2:9" ht="12.75">
      <c r="B75" s="38"/>
      <c r="C75" s="11"/>
      <c r="D75" s="38"/>
      <c r="E75" s="38"/>
      <c r="F75" s="38"/>
      <c r="G75" s="38"/>
      <c r="H75" s="38"/>
      <c r="I75" s="38"/>
    </row>
    <row r="79" ht="12.75">
      <c r="C79" s="127"/>
    </row>
  </sheetData>
  <sheetProtection/>
  <mergeCells count="2">
    <mergeCell ref="B1:H1"/>
    <mergeCell ref="B67:B68"/>
  </mergeCells>
  <printOptions gridLines="1"/>
  <pageMargins left="0.36" right="0.17" top="0.3" bottom="0.2" header="0.22" footer="0.1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D1">
      <selection activeCell="I33" sqref="I33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277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64" t="s">
        <v>121</v>
      </c>
      <c r="D7" s="265"/>
      <c r="E7" s="265"/>
      <c r="F7" s="265"/>
      <c r="G7" s="265"/>
      <c r="H7" s="265"/>
      <c r="I7" s="265"/>
      <c r="J7" s="266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98"/>
      <c r="J11" s="98"/>
    </row>
    <row r="12" spans="3:10" s="92" customFormat="1" ht="15" customHeight="1">
      <c r="C12" s="93" t="s">
        <v>5</v>
      </c>
      <c r="D12" s="93" t="s">
        <v>248</v>
      </c>
      <c r="E12" s="93" t="s">
        <v>10</v>
      </c>
      <c r="F12" s="93" t="s">
        <v>243</v>
      </c>
      <c r="G12" s="99" t="s">
        <v>11</v>
      </c>
      <c r="H12" s="93" t="s">
        <v>148</v>
      </c>
      <c r="I12" s="99" t="s">
        <v>210</v>
      </c>
      <c r="J12" s="99" t="s">
        <v>62</v>
      </c>
    </row>
    <row r="13" spans="3:10" s="92" customFormat="1" ht="15" customHeight="1">
      <c r="C13" s="93"/>
      <c r="D13" s="93"/>
      <c r="E13" s="93"/>
      <c r="F13" s="93"/>
      <c r="G13" s="98"/>
      <c r="H13" s="93"/>
      <c r="I13" s="98"/>
      <c r="J13" s="98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0" s="92" customFormat="1" ht="15" customHeight="1">
      <c r="B16" s="91" t="s">
        <v>282</v>
      </c>
      <c r="C16" s="108">
        <f>80000000/1000</f>
        <v>80000</v>
      </c>
      <c r="D16" s="108">
        <v>0</v>
      </c>
      <c r="E16" s="108">
        <v>29</v>
      </c>
      <c r="F16" s="108">
        <f>2660000/1000</f>
        <v>2660</v>
      </c>
      <c r="G16" s="108">
        <f>17934979/1000</f>
        <v>17934.979</v>
      </c>
      <c r="H16" s="108">
        <f>SUM(C16:G16)</f>
        <v>100623.97899999999</v>
      </c>
      <c r="I16" s="108">
        <f>4886/1000</f>
        <v>4.886</v>
      </c>
      <c r="J16" s="108">
        <f>SUM(H16:I16)</f>
        <v>100628.86499999999</v>
      </c>
    </row>
    <row r="17" spans="2:10" s="92" customFormat="1" ht="15" customHeight="1">
      <c r="B17" s="91"/>
      <c r="C17" s="108"/>
      <c r="D17" s="108"/>
      <c r="E17" s="108"/>
      <c r="F17" s="108"/>
      <c r="G17" s="108"/>
      <c r="H17" s="108"/>
      <c r="I17" s="108"/>
      <c r="J17" s="108"/>
    </row>
    <row r="18" spans="2:10" s="92" customFormat="1" ht="15" customHeight="1">
      <c r="B18" s="20" t="s">
        <v>271</v>
      </c>
      <c r="C18" s="108">
        <v>0</v>
      </c>
      <c r="D18" s="251">
        <v>0</v>
      </c>
      <c r="E18" s="108">
        <v>0</v>
      </c>
      <c r="F18" s="108">
        <v>0</v>
      </c>
      <c r="G18" s="108">
        <v>0</v>
      </c>
      <c r="H18" s="108">
        <f>SUM(C18:G18)</f>
        <v>0</v>
      </c>
      <c r="I18" s="108">
        <v>0</v>
      </c>
      <c r="J18" s="108">
        <f>SUM(H18:I18)</f>
        <v>0</v>
      </c>
    </row>
    <row r="19" spans="3:10" s="92" customFormat="1" ht="15" customHeight="1">
      <c r="C19" s="108"/>
      <c r="D19" s="108"/>
      <c r="E19" s="108"/>
      <c r="F19" s="108"/>
      <c r="G19" s="108"/>
      <c r="H19" s="108"/>
      <c r="I19" s="108"/>
      <c r="J19" s="108"/>
    </row>
    <row r="20" spans="2:10" s="92" customFormat="1" ht="15" customHeight="1">
      <c r="B20" s="92" t="s">
        <v>10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f>SUM(C20:G20)</f>
        <v>0</v>
      </c>
      <c r="I20" s="108">
        <v>0</v>
      </c>
      <c r="J20" s="108">
        <f>SUM(H20:I20)</f>
        <v>0</v>
      </c>
    </row>
    <row r="21" spans="3:10" s="92" customFormat="1" ht="15" customHeight="1">
      <c r="C21" s="108"/>
      <c r="D21" s="108"/>
      <c r="E21" s="108"/>
      <c r="F21" s="108"/>
      <c r="G21" s="108"/>
      <c r="H21" s="108"/>
      <c r="I21" s="108"/>
      <c r="J21" s="108"/>
    </row>
    <row r="22" spans="2:10" s="92" customFormat="1" ht="15" customHeight="1">
      <c r="B22" s="92" t="s">
        <v>232</v>
      </c>
      <c r="C22" s="108">
        <v>0</v>
      </c>
      <c r="D22" s="108">
        <v>0</v>
      </c>
      <c r="E22" s="251">
        <v>0</v>
      </c>
      <c r="F22" s="251">
        <v>0</v>
      </c>
      <c r="G22" s="251">
        <f>'[8]1conso-YTD (2)'!$U$33</f>
        <v>552.755824192001</v>
      </c>
      <c r="H22" s="108">
        <f>SUM(C22:G22)</f>
        <v>552.755824192001</v>
      </c>
      <c r="I22" s="251">
        <f>-'[8]1conso-YTD (2)'!$U$31</f>
        <v>-19.765254192</v>
      </c>
      <c r="J22" s="251">
        <f>SUM(H22:I22)</f>
        <v>532.990570000001</v>
      </c>
    </row>
    <row r="23" spans="3:10" s="92" customFormat="1" ht="15" customHeight="1">
      <c r="C23" s="252"/>
      <c r="D23" s="252"/>
      <c r="E23" s="253"/>
      <c r="F23" s="253"/>
      <c r="G23" s="253"/>
      <c r="H23" s="253"/>
      <c r="I23" s="253"/>
      <c r="J23" s="253"/>
    </row>
    <row r="24" spans="2:11" s="92" customFormat="1" ht="15" customHeight="1" thickBot="1">
      <c r="B24" s="91" t="s">
        <v>283</v>
      </c>
      <c r="C24" s="254">
        <f aca="true" t="shared" si="0" ref="C24:J24">SUM(C16:C23)</f>
        <v>80000</v>
      </c>
      <c r="D24" s="254">
        <f t="shared" si="0"/>
        <v>0</v>
      </c>
      <c r="E24" s="255">
        <f t="shared" si="0"/>
        <v>29</v>
      </c>
      <c r="F24" s="254">
        <f t="shared" si="0"/>
        <v>2660</v>
      </c>
      <c r="G24" s="255">
        <f t="shared" si="0"/>
        <v>18487.734824192</v>
      </c>
      <c r="H24" s="255">
        <f t="shared" si="0"/>
        <v>101176.734824192</v>
      </c>
      <c r="I24" s="255">
        <f t="shared" si="0"/>
        <v>-14.879254192000001</v>
      </c>
      <c r="J24" s="255">
        <f t="shared" si="0"/>
        <v>101161.85556999999</v>
      </c>
      <c r="K24" s="94"/>
    </row>
    <row r="25" spans="3:10" s="92" customFormat="1" ht="15" customHeight="1" thickTop="1">
      <c r="C25" s="95"/>
      <c r="D25" s="95"/>
      <c r="E25" s="199"/>
      <c r="F25" s="199"/>
      <c r="G25" s="199"/>
      <c r="H25" s="199"/>
      <c r="I25" s="199"/>
      <c r="J25" s="199"/>
    </row>
    <row r="26" spans="3:16" s="92" customFormat="1" ht="15" customHeight="1">
      <c r="C26" s="95"/>
      <c r="D26" s="95"/>
      <c r="E26" s="95"/>
      <c r="F26" s="95"/>
      <c r="G26" s="95"/>
      <c r="H26" s="95"/>
      <c r="I26" s="95"/>
      <c r="J26" s="94"/>
      <c r="P26" s="95"/>
    </row>
    <row r="27" spans="2:16" s="92" customFormat="1" ht="15" customHeight="1" hidden="1">
      <c r="B27" s="92" t="s">
        <v>118</v>
      </c>
      <c r="C27" s="95"/>
      <c r="D27" s="95"/>
      <c r="E27" s="95"/>
      <c r="F27" s="95"/>
      <c r="G27" s="95"/>
      <c r="H27" s="95"/>
      <c r="I27" s="95"/>
      <c r="K27" s="96"/>
      <c r="M27" s="96"/>
      <c r="O27" s="96"/>
      <c r="P27" s="95"/>
    </row>
    <row r="28" spans="2:15" s="92" customFormat="1" ht="15" customHeight="1" hidden="1">
      <c r="B28" s="96"/>
      <c r="C28" s="95"/>
      <c r="D28" s="95"/>
      <c r="E28" s="95"/>
      <c r="F28" s="95"/>
      <c r="G28" s="95"/>
      <c r="H28" s="95"/>
      <c r="I28" s="95"/>
      <c r="J28" s="95"/>
      <c r="K28" s="96"/>
      <c r="M28" s="96"/>
      <c r="N28" s="96"/>
      <c r="O28" s="96"/>
    </row>
    <row r="29" spans="2:12" ht="14.25" hidden="1">
      <c r="B29" s="97"/>
      <c r="C29" s="97"/>
      <c r="D29" s="97"/>
      <c r="E29" s="97"/>
      <c r="F29" s="97"/>
      <c r="G29" s="97"/>
      <c r="H29" s="97"/>
      <c r="I29" s="97"/>
      <c r="L29" s="92"/>
    </row>
    <row r="30" spans="2:12" ht="14.25" hidden="1">
      <c r="B30" s="124" t="s">
        <v>144</v>
      </c>
      <c r="C30" s="97"/>
      <c r="D30" s="97"/>
      <c r="E30" s="97"/>
      <c r="F30" s="97"/>
      <c r="G30" s="97"/>
      <c r="H30" s="97"/>
      <c r="I30" s="97"/>
      <c r="L30" s="92"/>
    </row>
    <row r="31" spans="2:12" ht="14.25" hidden="1">
      <c r="B31" s="122" t="s">
        <v>147</v>
      </c>
      <c r="C31" s="123"/>
      <c r="D31" s="123"/>
      <c r="E31" s="123"/>
      <c r="F31" s="123"/>
      <c r="G31" s="123"/>
      <c r="H31" s="123"/>
      <c r="I31" s="123"/>
      <c r="L31" s="92"/>
    </row>
    <row r="32" spans="2:9" ht="14.25" hidden="1">
      <c r="B32" s="92" t="s">
        <v>145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219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281</v>
      </c>
      <c r="C35" s="92"/>
      <c r="D35" s="92"/>
      <c r="E35" s="92"/>
      <c r="F35" s="92"/>
      <c r="G35" s="92"/>
      <c r="H35" s="92"/>
      <c r="I35" s="92"/>
    </row>
    <row r="36" ht="14.25">
      <c r="B36" s="96" t="s">
        <v>99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statement'!P13</f>
        <v>31 March 2014</v>
      </c>
      <c r="E8" s="12"/>
      <c r="F8" s="5" t="str">
        <f>'Income statement'!Q13</f>
        <v>31 March 2013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67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67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67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67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70" t="s">
        <v>18</v>
      </c>
      <c r="D6" s="271"/>
      <c r="E6" s="270" t="s">
        <v>19</v>
      </c>
      <c r="F6" s="271"/>
      <c r="H6" s="7"/>
    </row>
    <row r="7" spans="3:6" ht="12.75">
      <c r="C7" s="272" t="s">
        <v>20</v>
      </c>
      <c r="D7" s="272" t="s">
        <v>21</v>
      </c>
      <c r="E7" s="272" t="s">
        <v>23</v>
      </c>
      <c r="F7" s="272" t="s">
        <v>22</v>
      </c>
    </row>
    <row r="8" spans="3:6" ht="12.75">
      <c r="C8" s="272"/>
      <c r="D8" s="272"/>
      <c r="E8" s="272"/>
      <c r="F8" s="272"/>
    </row>
    <row r="9" spans="3:6" ht="12.75">
      <c r="C9" s="272"/>
      <c r="D9" s="272"/>
      <c r="E9" s="272"/>
      <c r="F9" s="272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statement'!P16</f>
        <v>23982.21932</v>
      </c>
      <c r="F14" s="9">
        <f>+'Income statement'!Q16</f>
        <v>19741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statement'!P30</f>
        <v>1168.7720700000004</v>
      </c>
      <c r="F16" s="9">
        <f>+'Income statement'!Q30</f>
        <v>-627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68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68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69" t="s">
        <v>48</v>
      </c>
      <c r="C33" s="9"/>
      <c r="D33" s="9"/>
      <c r="E33" s="10">
        <f>+'balance sheet'!C68</f>
        <v>0.6427491294333333</v>
      </c>
      <c r="F33" s="10">
        <f>+'balance sheet'!G68</f>
        <v>0.6294507694232453</v>
      </c>
    </row>
    <row r="34" spans="2:6" ht="12.75">
      <c r="B34" s="269"/>
      <c r="C34" s="9"/>
      <c r="D34" s="9"/>
      <c r="E34" s="9"/>
      <c r="F34" s="9"/>
    </row>
    <row r="35" spans="2:6" ht="12.75">
      <c r="B35" s="269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48" customWidth="1"/>
    <col min="4" max="4" width="17.8515625" style="148" customWidth="1"/>
    <col min="5" max="5" width="11.00390625" style="0" customWidth="1"/>
  </cols>
  <sheetData>
    <row r="1" ht="15">
      <c r="B1" s="16" t="s">
        <v>168</v>
      </c>
    </row>
    <row r="2" ht="15">
      <c r="B2" s="16" t="s">
        <v>169</v>
      </c>
    </row>
    <row r="3" ht="15">
      <c r="B3" s="16" t="s">
        <v>170</v>
      </c>
    </row>
    <row r="4" ht="15">
      <c r="B4" s="16"/>
    </row>
    <row r="5" ht="15">
      <c r="B5" s="16" t="s">
        <v>171</v>
      </c>
    </row>
    <row r="6" ht="15">
      <c r="B6" s="16" t="s">
        <v>172</v>
      </c>
    </row>
    <row r="7" ht="14.25">
      <c r="B7" s="145"/>
    </row>
    <row r="8" spans="2:4" ht="15">
      <c r="B8" s="24"/>
      <c r="C8" s="17" t="s">
        <v>173</v>
      </c>
      <c r="D8" s="17">
        <v>2009</v>
      </c>
    </row>
    <row r="9" spans="2:4" ht="15">
      <c r="B9" s="24"/>
      <c r="C9" s="17"/>
      <c r="D9" s="17" t="s">
        <v>174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0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0">
        <v>1410509</v>
      </c>
    </row>
    <row r="17" spans="2:4" ht="14.25">
      <c r="B17" s="20" t="s">
        <v>65</v>
      </c>
      <c r="C17" s="19"/>
      <c r="D17" s="150">
        <v>968612</v>
      </c>
    </row>
    <row r="18" spans="2:4" ht="14.25">
      <c r="B18" s="20" t="s">
        <v>175</v>
      </c>
      <c r="C18" s="19"/>
      <c r="D18" s="150">
        <v>48152</v>
      </c>
    </row>
    <row r="19" spans="2:4" ht="14.25">
      <c r="B19" s="20" t="s">
        <v>66</v>
      </c>
      <c r="C19" s="19"/>
      <c r="D19" s="150">
        <v>29548</v>
      </c>
    </row>
    <row r="20" spans="2:4" ht="14.25">
      <c r="B20" s="20" t="s">
        <v>176</v>
      </c>
      <c r="C20" s="19"/>
      <c r="D20" s="150">
        <v>-38068</v>
      </c>
    </row>
    <row r="21" spans="2:4" ht="14.25">
      <c r="B21" s="20" t="s">
        <v>67</v>
      </c>
      <c r="C21" s="19"/>
      <c r="D21" s="150">
        <v>-381336</v>
      </c>
    </row>
    <row r="22" spans="2:5" ht="15" thickBot="1">
      <c r="B22" s="20" t="s">
        <v>177</v>
      </c>
      <c r="C22" s="19"/>
      <c r="D22" s="151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0">
        <v>14683053</v>
      </c>
    </row>
    <row r="25" spans="2:4" ht="14.25">
      <c r="B25" s="20"/>
      <c r="C25" s="19"/>
      <c r="D25" s="19"/>
    </row>
    <row r="26" spans="2:4" ht="14.25">
      <c r="B26" s="24" t="s">
        <v>178</v>
      </c>
      <c r="C26" s="19"/>
      <c r="D26" s="150">
        <v>1005378</v>
      </c>
    </row>
    <row r="27" spans="2:4" ht="14.25">
      <c r="B27" s="24" t="s">
        <v>179</v>
      </c>
      <c r="C27" s="19"/>
      <c r="D27" s="150">
        <v>2638376</v>
      </c>
    </row>
    <row r="28" spans="2:4" ht="14.25">
      <c r="B28" s="20" t="s">
        <v>139</v>
      </c>
      <c r="C28" s="19"/>
      <c r="D28" s="150">
        <v>-3186200</v>
      </c>
    </row>
    <row r="29" spans="2:4" ht="28.5">
      <c r="B29" s="20" t="s">
        <v>180</v>
      </c>
      <c r="C29" s="19"/>
      <c r="D29" s="150">
        <v>-1774921</v>
      </c>
    </row>
    <row r="30" spans="2:4" ht="28.5">
      <c r="B30" s="20" t="s">
        <v>129</v>
      </c>
      <c r="C30" s="19"/>
      <c r="D30" s="150">
        <v>1373389</v>
      </c>
    </row>
    <row r="31" spans="2:4" ht="14.25">
      <c r="B31" s="20" t="s">
        <v>69</v>
      </c>
      <c r="C31" s="19"/>
      <c r="D31" s="150">
        <v>189777</v>
      </c>
    </row>
    <row r="32" spans="2:4" ht="15" thickBot="1">
      <c r="B32" s="20" t="s">
        <v>130</v>
      </c>
      <c r="C32" s="19"/>
      <c r="D32" s="151">
        <v>-271731</v>
      </c>
    </row>
    <row r="33" spans="2:4" ht="14.25">
      <c r="B33" s="24"/>
      <c r="C33" s="19"/>
      <c r="D33" s="19"/>
    </row>
    <row r="34" spans="2:4" ht="14.25">
      <c r="B34" s="24" t="s">
        <v>181</v>
      </c>
      <c r="C34" s="19"/>
      <c r="D34" s="150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0">
        <v>-134101</v>
      </c>
    </row>
    <row r="37" spans="2:4" ht="15" thickBot="1">
      <c r="B37" s="18" t="s">
        <v>70</v>
      </c>
      <c r="C37" s="19"/>
      <c r="D37" s="151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1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182</v>
      </c>
      <c r="C42" s="19"/>
      <c r="D42" s="19"/>
    </row>
    <row r="43" spans="2:4" ht="14.25">
      <c r="B43" s="18" t="s">
        <v>183</v>
      </c>
      <c r="C43" s="19">
        <v>17</v>
      </c>
      <c r="D43" s="150">
        <v>15479479</v>
      </c>
    </row>
    <row r="44" spans="2:4" ht="14.25">
      <c r="B44" s="18" t="s">
        <v>184</v>
      </c>
      <c r="C44" s="19"/>
      <c r="D44" s="150">
        <v>381336</v>
      </c>
    </row>
    <row r="45" spans="2:4" ht="14.25">
      <c r="B45" s="18" t="s">
        <v>185</v>
      </c>
      <c r="C45" s="19"/>
      <c r="D45" s="150">
        <v>38068</v>
      </c>
    </row>
    <row r="46" spans="2:4" ht="14.25">
      <c r="B46" s="18" t="s">
        <v>90</v>
      </c>
      <c r="C46" s="19"/>
      <c r="D46" s="150">
        <v>-500682</v>
      </c>
    </row>
    <row r="47" spans="2:4" ht="15" thickBot="1">
      <c r="B47" s="18" t="s">
        <v>73</v>
      </c>
      <c r="C47" s="19">
        <v>25</v>
      </c>
      <c r="D47" s="150">
        <v>-11636454</v>
      </c>
    </row>
    <row r="48" spans="2:4" ht="15">
      <c r="B48" s="18"/>
      <c r="C48" s="19"/>
      <c r="D48" s="152"/>
    </row>
    <row r="49" spans="2:4" ht="15" thickBot="1">
      <c r="B49" s="18" t="s">
        <v>186</v>
      </c>
      <c r="C49" s="19"/>
      <c r="D49" s="151">
        <v>3761747</v>
      </c>
    </row>
    <row r="50" spans="2:4" ht="12.75">
      <c r="B50" s="146"/>
      <c r="C50" s="149"/>
      <c r="D50" s="149"/>
    </row>
    <row r="51" spans="2:5" ht="15">
      <c r="B51" s="20"/>
      <c r="C51" s="19"/>
      <c r="D51" s="17"/>
      <c r="E51" s="147"/>
    </row>
    <row r="52" spans="2:5" ht="15">
      <c r="B52" s="20" t="s">
        <v>75</v>
      </c>
      <c r="C52" s="19"/>
      <c r="D52" s="17"/>
      <c r="E52" s="147"/>
    </row>
    <row r="53" spans="2:5" ht="15">
      <c r="B53" s="20" t="s">
        <v>187</v>
      </c>
      <c r="C53" s="19"/>
      <c r="D53" s="150">
        <v>13320000</v>
      </c>
      <c r="E53" s="147"/>
    </row>
    <row r="54" spans="2:5" ht="15">
      <c r="B54" s="20" t="s">
        <v>188</v>
      </c>
      <c r="C54" s="19"/>
      <c r="D54" s="150">
        <v>1785884</v>
      </c>
      <c r="E54" s="147"/>
    </row>
    <row r="55" spans="2:5" ht="15">
      <c r="B55" s="20" t="s">
        <v>76</v>
      </c>
      <c r="C55" s="19"/>
      <c r="D55" s="150">
        <v>-9886</v>
      </c>
      <c r="E55" s="147"/>
    </row>
    <row r="56" spans="2:5" ht="15">
      <c r="B56" s="20" t="s">
        <v>189</v>
      </c>
      <c r="C56" s="19"/>
      <c r="D56" s="150">
        <v>-26016</v>
      </c>
      <c r="E56" s="147"/>
    </row>
    <row r="57" spans="2:5" ht="15">
      <c r="B57" s="20" t="s">
        <v>77</v>
      </c>
      <c r="C57" s="19"/>
      <c r="D57" s="150">
        <v>-63273</v>
      </c>
      <c r="E57" s="147"/>
    </row>
    <row r="58" spans="2:5" ht="15">
      <c r="B58" s="20" t="s">
        <v>190</v>
      </c>
      <c r="C58" s="19"/>
      <c r="D58" s="150">
        <v>-666770</v>
      </c>
      <c r="E58" s="147"/>
    </row>
    <row r="59" spans="2:5" ht="15">
      <c r="B59" s="20" t="s">
        <v>191</v>
      </c>
      <c r="C59" s="19"/>
      <c r="D59" s="150">
        <v>-2520424</v>
      </c>
      <c r="E59" s="147"/>
    </row>
    <row r="60" spans="2:5" ht="15">
      <c r="B60" s="20" t="s">
        <v>192</v>
      </c>
      <c r="C60" s="19"/>
      <c r="D60" s="150">
        <v>-2812839</v>
      </c>
      <c r="E60" s="147"/>
    </row>
    <row r="61" spans="2:5" ht="15.75" thickBot="1">
      <c r="B61" s="20" t="s">
        <v>193</v>
      </c>
      <c r="C61" s="19"/>
      <c r="D61" s="151">
        <v>-5000000</v>
      </c>
      <c r="E61" s="147"/>
    </row>
    <row r="62" spans="2:5" ht="15">
      <c r="B62" s="20"/>
      <c r="C62" s="19"/>
      <c r="D62" s="19"/>
      <c r="E62" s="147"/>
    </row>
    <row r="63" spans="2:5" ht="15.75" thickBot="1">
      <c r="B63" s="20" t="s">
        <v>194</v>
      </c>
      <c r="C63" s="19"/>
      <c r="D63" s="151">
        <v>4006676</v>
      </c>
      <c r="E63" s="147"/>
    </row>
    <row r="64" spans="2:5" ht="15">
      <c r="B64" s="20"/>
      <c r="C64" s="19"/>
      <c r="D64" s="17"/>
      <c r="E64" s="147"/>
    </row>
    <row r="65" spans="2:5" ht="14.25">
      <c r="B65" s="20" t="s">
        <v>195</v>
      </c>
      <c r="C65" s="19"/>
      <c r="D65" s="150">
        <v>18799987</v>
      </c>
      <c r="E65" s="24"/>
    </row>
    <row r="66" spans="2:5" ht="15">
      <c r="B66" s="20"/>
      <c r="C66" s="19"/>
      <c r="D66" s="19"/>
      <c r="E66" s="147"/>
    </row>
    <row r="67" spans="2:5" ht="28.5">
      <c r="B67" s="20" t="s">
        <v>196</v>
      </c>
      <c r="C67" s="19"/>
      <c r="D67" s="19"/>
      <c r="E67" s="147"/>
    </row>
    <row r="68" spans="2:5" ht="15.75" thickBot="1">
      <c r="B68" s="20"/>
      <c r="C68" s="19"/>
      <c r="D68" s="153">
        <v>2</v>
      </c>
      <c r="E68" s="147"/>
    </row>
    <row r="69" spans="2:5" ht="15">
      <c r="B69" s="20"/>
      <c r="C69" s="19"/>
      <c r="D69" s="19"/>
      <c r="E69" s="147"/>
    </row>
    <row r="70" spans="2:5" ht="15.75" thickBot="1">
      <c r="B70" s="20" t="s">
        <v>197</v>
      </c>
      <c r="C70" s="19">
        <v>26</v>
      </c>
      <c r="D70" s="154">
        <v>18799989</v>
      </c>
      <c r="E70" s="147"/>
    </row>
    <row r="71" spans="2:5" ht="13.5" thickTop="1">
      <c r="B71" s="146"/>
      <c r="C71" s="149"/>
      <c r="D71" s="149"/>
      <c r="E71" s="146"/>
    </row>
    <row r="72" ht="14.25">
      <c r="B72" s="60"/>
    </row>
    <row r="73" ht="14.25">
      <c r="B73" s="51"/>
    </row>
    <row r="74" ht="14.25">
      <c r="B74" s="51"/>
    </row>
    <row r="75" spans="2:4" ht="15">
      <c r="B75" s="156" t="s">
        <v>207</v>
      </c>
      <c r="C75"/>
      <c r="D75"/>
    </row>
    <row r="76" spans="2:4" ht="14.25">
      <c r="B76" s="145"/>
      <c r="C76"/>
      <c r="D76"/>
    </row>
    <row r="77" spans="2:4" ht="42.75">
      <c r="B77" s="145" t="s">
        <v>198</v>
      </c>
      <c r="C77"/>
      <c r="D77"/>
    </row>
    <row r="78" spans="2:4" ht="14.25">
      <c r="B78" s="145"/>
      <c r="C78"/>
      <c r="D78"/>
    </row>
    <row r="79" spans="2:7" ht="15.75" thickBot="1">
      <c r="B79" s="25"/>
      <c r="D79" s="157" t="s">
        <v>199</v>
      </c>
      <c r="E79" s="158"/>
      <c r="F79" s="273"/>
      <c r="G79" s="273"/>
    </row>
    <row r="80" spans="2:7" ht="15">
      <c r="B80" s="25"/>
      <c r="D80" s="17">
        <v>2009</v>
      </c>
      <c r="E80" s="158"/>
      <c r="F80" s="159"/>
      <c r="G80" s="158"/>
    </row>
    <row r="81" spans="2:7" ht="15">
      <c r="B81" s="20"/>
      <c r="D81" s="17" t="s">
        <v>174</v>
      </c>
      <c r="E81" s="158"/>
      <c r="F81" s="159"/>
      <c r="G81" s="158"/>
    </row>
    <row r="82" spans="2:7" ht="15">
      <c r="B82" s="20"/>
      <c r="D82" s="17"/>
      <c r="E82" s="158"/>
      <c r="F82" s="159"/>
      <c r="G82" s="159"/>
    </row>
    <row r="83" spans="2:7" ht="14.25">
      <c r="B83" s="20" t="s">
        <v>200</v>
      </c>
      <c r="D83" s="150">
        <v>8538068</v>
      </c>
      <c r="E83" s="160"/>
      <c r="F83" s="161"/>
      <c r="G83" s="161"/>
    </row>
    <row r="84" spans="2:7" ht="15">
      <c r="B84" s="20" t="s">
        <v>201</v>
      </c>
      <c r="D84" s="17"/>
      <c r="E84" s="158"/>
      <c r="F84" s="159"/>
      <c r="G84" s="159"/>
    </row>
    <row r="85" spans="2:7" ht="14.25">
      <c r="B85" s="20" t="s">
        <v>202</v>
      </c>
      <c r="D85" s="150">
        <v>19711108</v>
      </c>
      <c r="E85" s="161"/>
      <c r="F85" s="162"/>
      <c r="G85" s="161"/>
    </row>
    <row r="86" spans="2:7" ht="14.25">
      <c r="B86" s="20" t="s">
        <v>203</v>
      </c>
      <c r="D86" s="150">
        <v>3199333</v>
      </c>
      <c r="E86" s="160"/>
      <c r="F86" s="162"/>
      <c r="G86" s="161"/>
    </row>
    <row r="87" spans="2:7" ht="15" thickBot="1">
      <c r="B87" s="20" t="s">
        <v>204</v>
      </c>
      <c r="D87" s="151">
        <v>-3959186</v>
      </c>
      <c r="E87" s="161"/>
      <c r="F87" s="162"/>
      <c r="G87" s="161"/>
    </row>
    <row r="88" spans="2:7" ht="14.25">
      <c r="B88" s="20"/>
      <c r="D88" s="19"/>
      <c r="E88" s="161"/>
      <c r="F88" s="162"/>
      <c r="G88" s="161"/>
    </row>
    <row r="89" spans="2:7" ht="14.25">
      <c r="B89" s="20"/>
      <c r="D89" s="150">
        <v>27489323</v>
      </c>
      <c r="E89" s="160"/>
      <c r="F89" s="162"/>
      <c r="G89" s="161"/>
    </row>
    <row r="90" spans="2:7" ht="15">
      <c r="B90" s="20" t="s">
        <v>205</v>
      </c>
      <c r="D90" s="17"/>
      <c r="E90" s="158"/>
      <c r="F90" s="159"/>
      <c r="G90" s="158"/>
    </row>
    <row r="91" spans="2:7" ht="15" thickBot="1">
      <c r="B91" s="20" t="s">
        <v>206</v>
      </c>
      <c r="D91" s="151">
        <v>-8689334</v>
      </c>
      <c r="E91" s="163"/>
      <c r="F91" s="163"/>
      <c r="G91" s="161"/>
    </row>
    <row r="92" spans="2:7" ht="14.25">
      <c r="B92" s="20"/>
      <c r="D92" s="19"/>
      <c r="E92" s="163"/>
      <c r="F92" s="163"/>
      <c r="G92" s="161"/>
    </row>
    <row r="93" spans="2:7" ht="15" thickBot="1">
      <c r="B93" s="20"/>
      <c r="D93" s="154">
        <v>18799989</v>
      </c>
      <c r="E93" s="164"/>
      <c r="F93" s="163"/>
      <c r="G93" s="161"/>
    </row>
    <row r="94" spans="2:4" ht="15" thickTop="1">
      <c r="B94" s="145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tabSelected="1" zoomScalePageLayoutView="0" workbookViewId="0" topLeftCell="A51">
      <selection activeCell="I39" sqref="I39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30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216"/>
    </row>
    <row r="4" spans="2:10" s="51" customFormat="1" ht="15" customHeight="1">
      <c r="B4" s="16" t="s">
        <v>284</v>
      </c>
      <c r="E4" s="39"/>
      <c r="F4" s="39"/>
      <c r="G4" s="231"/>
      <c r="H4" s="39"/>
      <c r="I4" s="39"/>
      <c r="J4" s="39"/>
    </row>
    <row r="5" spans="2:10" s="51" customFormat="1" ht="15" customHeight="1">
      <c r="B5" s="16"/>
      <c r="E5" s="260" t="s">
        <v>208</v>
      </c>
      <c r="F5" s="56"/>
      <c r="G5" s="260" t="s">
        <v>285</v>
      </c>
      <c r="I5" s="260" t="s">
        <v>286</v>
      </c>
      <c r="J5" s="260" t="s">
        <v>209</v>
      </c>
    </row>
    <row r="6" spans="2:10" s="51" customFormat="1" ht="15" customHeight="1">
      <c r="B6" s="16"/>
      <c r="E6" s="260"/>
      <c r="F6" s="56"/>
      <c r="G6" s="260"/>
      <c r="I6" s="274"/>
      <c r="J6" s="274"/>
    </row>
    <row r="7" spans="2:10" s="51" customFormat="1" ht="15" customHeight="1">
      <c r="B7" s="16"/>
      <c r="E7" s="260"/>
      <c r="F7" s="56"/>
      <c r="G7" s="260"/>
      <c r="I7" s="274"/>
      <c r="J7" s="274"/>
    </row>
    <row r="8" spans="2:10" s="51" customFormat="1" ht="45" customHeight="1">
      <c r="B8" s="16"/>
      <c r="E8" s="260"/>
      <c r="F8" s="56"/>
      <c r="G8" s="260"/>
      <c r="I8" s="274"/>
      <c r="J8" s="274"/>
    </row>
    <row r="9" spans="2:10" s="51" customFormat="1" ht="15" customHeight="1">
      <c r="B9" s="16"/>
      <c r="E9" s="58" t="s">
        <v>3</v>
      </c>
      <c r="F9" s="58"/>
      <c r="G9" s="185" t="s">
        <v>3</v>
      </c>
      <c r="I9" s="181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232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12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18">
        <f>'[9]Cashflow0314'!$B$6</f>
        <v>1168.5090700000014</v>
      </c>
      <c r="H12" s="21"/>
      <c r="I12" s="21">
        <v>-627</v>
      </c>
      <c r="J12" s="21">
        <f>'CF12.09'!D12/1000</f>
        <v>13768.765</v>
      </c>
      <c r="K12" s="177"/>
    </row>
    <row r="13" spans="2:11" s="51" customFormat="1" ht="14.25">
      <c r="B13" s="20"/>
      <c r="C13" s="19"/>
      <c r="D13" s="19"/>
      <c r="E13" s="21"/>
      <c r="F13" s="21"/>
      <c r="G13" s="218"/>
      <c r="H13" s="21"/>
      <c r="I13" s="21"/>
      <c r="J13" s="21"/>
      <c r="K13" s="177"/>
    </row>
    <row r="14" spans="2:11" s="51" customFormat="1" ht="15" thickBot="1">
      <c r="B14" s="191" t="s">
        <v>111</v>
      </c>
      <c r="C14" s="19"/>
      <c r="D14" s="19"/>
      <c r="E14" s="21" t="e">
        <f>'[4]cashflow.'!$V$17</f>
        <v>#REF!</v>
      </c>
      <c r="F14" s="21"/>
      <c r="G14" s="218">
        <f>'[9]Cashflow0314'!$J$18-114</f>
        <v>668.6935100000001</v>
      </c>
      <c r="H14" s="21"/>
      <c r="I14" s="22">
        <v>942</v>
      </c>
      <c r="J14" s="22">
        <f>'CF12.09'!E22/1000</f>
        <v>914.288</v>
      </c>
      <c r="K14" s="177"/>
    </row>
    <row r="15" spans="2:11" s="51" customFormat="1" ht="14.25">
      <c r="B15" s="192"/>
      <c r="C15" s="19"/>
      <c r="D15" s="19"/>
      <c r="E15" s="23"/>
      <c r="F15" s="28"/>
      <c r="G15" s="219"/>
      <c r="H15" s="28"/>
      <c r="I15" s="28"/>
      <c r="J15" s="21"/>
      <c r="K15" s="177"/>
    </row>
    <row r="16" spans="2:11" s="51" customFormat="1" ht="15.75" customHeight="1">
      <c r="B16" s="191" t="s">
        <v>8</v>
      </c>
      <c r="C16" s="19"/>
      <c r="D16" s="19"/>
      <c r="E16" s="49">
        <f>'[4]cashflow.'!$U$21</f>
        <v>3906</v>
      </c>
      <c r="F16" s="49"/>
      <c r="G16" s="220">
        <f>SUM(G12:G14)</f>
        <v>1837.2025800000015</v>
      </c>
      <c r="H16" s="21"/>
      <c r="I16" s="49">
        <f>SUM(I12:I14)</f>
        <v>315</v>
      </c>
      <c r="J16" s="49">
        <f>'CF12.09'!D24/1000</f>
        <v>14683.053</v>
      </c>
      <c r="K16" s="177"/>
    </row>
    <row r="17" spans="2:15" s="51" customFormat="1" ht="14.25">
      <c r="B17" s="193"/>
      <c r="C17" s="24"/>
      <c r="D17" s="24"/>
      <c r="E17" s="21"/>
      <c r="F17" s="21"/>
      <c r="G17" s="218"/>
      <c r="H17" s="21"/>
      <c r="I17" s="21"/>
      <c r="J17" s="21"/>
      <c r="K17" s="188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18" t="e">
        <f>'[1]cashflow.'!F22</f>
        <v>#REF!</v>
      </c>
      <c r="H18" s="21"/>
      <c r="I18" s="21"/>
      <c r="J18" s="21" t="s">
        <v>24</v>
      </c>
      <c r="K18" s="188"/>
      <c r="L18" s="19"/>
    </row>
    <row r="19" spans="2:12" s="51" customFormat="1" ht="14.25" customHeight="1">
      <c r="B19" s="41" t="s">
        <v>228</v>
      </c>
      <c r="C19" s="24"/>
      <c r="D19" s="24"/>
      <c r="E19" s="21">
        <f>'[4]cashflow.'!$U$23</f>
        <v>312.60903000000053</v>
      </c>
      <c r="F19" s="21"/>
      <c r="G19" s="218">
        <f>'[9]Cashflow0314'!$B$20</f>
        <v>195.72789000000012</v>
      </c>
      <c r="H19" s="21"/>
      <c r="I19" s="21">
        <v>-922</v>
      </c>
      <c r="J19" s="21">
        <f>'CF12.09'!D26/1000</f>
        <v>1005.378</v>
      </c>
      <c r="K19" s="188"/>
      <c r="L19" s="19"/>
    </row>
    <row r="20" spans="2:12" s="51" customFormat="1" ht="14.25" customHeight="1">
      <c r="B20" s="41" t="s">
        <v>229</v>
      </c>
      <c r="C20" s="24"/>
      <c r="D20" s="24"/>
      <c r="E20" s="21">
        <f>'[4]cashflow.'!$U$24</f>
        <v>-1741.777379999996</v>
      </c>
      <c r="F20" s="21"/>
      <c r="G20" s="218">
        <f>'[9]Cashflow0314'!$B$21</f>
        <v>-6899.383200000002</v>
      </c>
      <c r="H20" s="21"/>
      <c r="I20" s="21">
        <v>-3099</v>
      </c>
      <c r="J20" s="21">
        <f>'CF12.09'!D27/1000</f>
        <v>2638.376</v>
      </c>
      <c r="K20" s="188"/>
      <c r="L20" s="19"/>
    </row>
    <row r="21" spans="2:12" s="51" customFormat="1" ht="14.25" customHeight="1">
      <c r="B21" s="41" t="s">
        <v>234</v>
      </c>
      <c r="C21" s="24"/>
      <c r="D21" s="24"/>
      <c r="E21" s="21">
        <f>'[4]cashflow.'!$U$25</f>
        <v>-1991.7909599999984</v>
      </c>
      <c r="F21" s="21"/>
      <c r="G21" s="218">
        <f>'[9]Cashflow0314'!$B$22</f>
        <v>-5574.60926</v>
      </c>
      <c r="H21" s="21"/>
      <c r="I21" s="21">
        <v>4013</v>
      </c>
      <c r="J21" s="21">
        <f>'CF12.09'!D28/1000</f>
        <v>-3186.2</v>
      </c>
      <c r="K21" s="188"/>
      <c r="L21" s="19"/>
    </row>
    <row r="22" spans="2:12" s="51" customFormat="1" ht="14.25" customHeight="1">
      <c r="B22" s="192" t="s">
        <v>230</v>
      </c>
      <c r="C22" s="24"/>
      <c r="D22" s="24"/>
      <c r="E22" s="21">
        <f>'[4]cashflow.'!$U$26</f>
        <v>770.346</v>
      </c>
      <c r="F22" s="21"/>
      <c r="G22" s="218">
        <f>'[9]Cashflow0314'!$B$23</f>
        <v>-1870.8121099999998</v>
      </c>
      <c r="H22" s="21"/>
      <c r="I22" s="21">
        <v>3081</v>
      </c>
      <c r="J22" s="21">
        <f>'CF12.09'!D29/1000</f>
        <v>-1774.921</v>
      </c>
      <c r="K22" s="188"/>
      <c r="L22" s="19"/>
    </row>
    <row r="23" spans="2:12" s="51" customFormat="1" ht="14.25" customHeight="1">
      <c r="B23" s="41" t="s">
        <v>231</v>
      </c>
      <c r="C23" s="20"/>
      <c r="D23" s="20"/>
      <c r="E23" s="21">
        <f>'[4]cashflow.'!$U$27</f>
        <v>8.91215000000011</v>
      </c>
      <c r="F23" s="21"/>
      <c r="G23" s="218">
        <v>0</v>
      </c>
      <c r="H23" s="21"/>
      <c r="I23" s="21">
        <v>0</v>
      </c>
      <c r="J23" s="21">
        <f>'CF12.09'!D30/1000</f>
        <v>1373.389</v>
      </c>
      <c r="K23" s="188"/>
      <c r="L23" s="19"/>
    </row>
    <row r="24" spans="2:12" s="51" customFormat="1" ht="14.25" customHeight="1">
      <c r="B24" s="41" t="s">
        <v>235</v>
      </c>
      <c r="C24" s="20"/>
      <c r="D24" s="20"/>
      <c r="E24" s="21">
        <f>'[4]cashflow.'!$U$28</f>
        <v>-230.72018999999818</v>
      </c>
      <c r="F24" s="21"/>
      <c r="G24" s="218">
        <f>'[9]Cashflow0314'!$B$24</f>
        <v>10005.461530000002</v>
      </c>
      <c r="H24" s="21"/>
      <c r="I24" s="21">
        <v>-203</v>
      </c>
      <c r="J24" s="21">
        <f>'CF12.09'!D31/1000</f>
        <v>189.777</v>
      </c>
      <c r="K24" s="188"/>
      <c r="L24" s="19"/>
    </row>
    <row r="25" spans="2:12" s="51" customFormat="1" ht="14.25" customHeight="1">
      <c r="B25" s="192" t="s">
        <v>233</v>
      </c>
      <c r="C25" s="20"/>
      <c r="D25" s="20"/>
      <c r="E25" s="21"/>
      <c r="F25" s="21"/>
      <c r="G25" s="218">
        <f>'[9]Cashflow0314'!$B$25</f>
        <v>-2620.485</v>
      </c>
      <c r="H25" s="21"/>
      <c r="I25" s="21">
        <v>0</v>
      </c>
      <c r="J25" s="21"/>
      <c r="K25" s="188"/>
      <c r="L25" s="19"/>
    </row>
    <row r="26" spans="2:12" s="51" customFormat="1" ht="15" thickBot="1">
      <c r="B26" s="40" t="s">
        <v>236</v>
      </c>
      <c r="C26" s="20"/>
      <c r="D26" s="20"/>
      <c r="E26" s="22">
        <f>'[4]cashflow.'!$U$29</f>
        <v>-780.1700500000002</v>
      </c>
      <c r="F26" s="28"/>
      <c r="G26" s="221">
        <v>0</v>
      </c>
      <c r="H26" s="28"/>
      <c r="I26" s="22">
        <v>0</v>
      </c>
      <c r="J26" s="22">
        <f>'CF12.09'!D32/1000</f>
        <v>-271.731</v>
      </c>
      <c r="K26" s="188"/>
      <c r="L26" s="19"/>
    </row>
    <row r="27" spans="2:12" s="51" customFormat="1" ht="14.25">
      <c r="B27" s="193"/>
      <c r="C27" s="24"/>
      <c r="D27" s="24"/>
      <c r="E27" s="21"/>
      <c r="F27" s="21"/>
      <c r="G27" s="218"/>
      <c r="H27" s="21"/>
      <c r="I27" s="21"/>
      <c r="J27" s="21"/>
      <c r="K27" s="188"/>
      <c r="L27" s="19"/>
    </row>
    <row r="28" spans="2:12" s="51" customFormat="1" ht="14.25" customHeight="1">
      <c r="B28" s="191" t="s">
        <v>105</v>
      </c>
      <c r="C28" s="20"/>
      <c r="D28" s="20"/>
      <c r="E28" s="49">
        <f>'[4]cashflow.'!$U$32</f>
        <v>254.40860000000794</v>
      </c>
      <c r="F28" s="49"/>
      <c r="G28" s="220">
        <f>SUM(G19:G27)+G16</f>
        <v>-4926.897569999999</v>
      </c>
      <c r="H28" s="21"/>
      <c r="I28" s="49">
        <f>SUM(I16:I26)</f>
        <v>3185</v>
      </c>
      <c r="J28" s="49">
        <f>'CF12.09'!D34/1000</f>
        <v>14657.121</v>
      </c>
      <c r="K28" s="188"/>
      <c r="L28" s="19"/>
    </row>
    <row r="29" spans="2:12" s="51" customFormat="1" ht="14.25" customHeight="1">
      <c r="B29" s="191"/>
      <c r="C29" s="20"/>
      <c r="D29" s="20"/>
      <c r="E29" s="49"/>
      <c r="F29" s="49"/>
      <c r="G29" s="214"/>
      <c r="H29" s="21"/>
      <c r="I29" s="49"/>
      <c r="J29" s="49"/>
      <c r="K29" s="188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18">
        <f>'[9]Cashflow0314'!$B$27</f>
        <v>-142.18308</v>
      </c>
      <c r="H30" s="21"/>
      <c r="I30" s="21">
        <v>-113</v>
      </c>
      <c r="J30" s="21">
        <f>'CF12.09'!D36/1000</f>
        <v>-134.101</v>
      </c>
      <c r="K30" s="188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18">
        <f>'[9]Cashflow0314'!$B$29</f>
        <v>-190.2185</v>
      </c>
      <c r="H31" s="28"/>
      <c r="I31" s="28">
        <v>-303</v>
      </c>
      <c r="J31" s="21">
        <f>'CF12.09'!D37/1000</f>
        <v>-3491.456</v>
      </c>
      <c r="K31" s="188"/>
      <c r="L31" s="19"/>
    </row>
    <row r="32" spans="2:12" s="51" customFormat="1" ht="14.25" hidden="1">
      <c r="B32" s="45" t="s">
        <v>287</v>
      </c>
      <c r="C32" s="18"/>
      <c r="D32" s="18"/>
      <c r="E32" s="21"/>
      <c r="F32" s="21"/>
      <c r="G32" s="218">
        <f>'[9]Cashflow0314'!$B$28-181</f>
        <v>0</v>
      </c>
      <c r="H32" s="28"/>
      <c r="I32" s="28">
        <v>0</v>
      </c>
      <c r="J32" s="21"/>
      <c r="K32" s="188"/>
      <c r="L32" s="19"/>
    </row>
    <row r="33" spans="2:12" s="51" customFormat="1" ht="15" thickBot="1">
      <c r="B33" s="45"/>
      <c r="C33" s="18"/>
      <c r="D33" s="18"/>
      <c r="E33" s="22"/>
      <c r="F33" s="28"/>
      <c r="G33" s="221"/>
      <c r="H33" s="21"/>
      <c r="I33" s="22"/>
      <c r="J33" s="22"/>
      <c r="K33" s="188"/>
      <c r="L33" s="19"/>
    </row>
    <row r="34" spans="2:12" s="51" customFormat="1" ht="15.75" thickBot="1">
      <c r="B34" s="194" t="s">
        <v>44</v>
      </c>
      <c r="C34" s="18"/>
      <c r="D34" s="18"/>
      <c r="E34" s="50">
        <f>'[4]cashflow.'!$U$37</f>
        <v>-620.5913999999921</v>
      </c>
      <c r="F34" s="110"/>
      <c r="G34" s="222">
        <f>SUM(G28:G33)</f>
        <v>-5259.299149999999</v>
      </c>
      <c r="H34" s="28"/>
      <c r="I34" s="50">
        <f>SUM(I28:I33)</f>
        <v>2769</v>
      </c>
      <c r="J34" s="155">
        <f>'CF12.09'!D39/1000</f>
        <v>11031.564</v>
      </c>
      <c r="K34" s="188"/>
      <c r="L34" s="19"/>
    </row>
    <row r="35" spans="2:12" s="51" customFormat="1" ht="14.25">
      <c r="B35" s="45"/>
      <c r="C35" s="18"/>
      <c r="D35" s="18"/>
      <c r="E35" s="100"/>
      <c r="F35" s="100"/>
      <c r="G35" s="215"/>
      <c r="H35" s="100"/>
      <c r="I35" s="100"/>
      <c r="J35" s="100"/>
      <c r="K35" s="188"/>
      <c r="L35" s="19"/>
    </row>
    <row r="36" spans="2:12" s="51" customFormat="1" ht="14.25">
      <c r="B36" s="45"/>
      <c r="C36" s="19"/>
      <c r="D36" s="19"/>
      <c r="E36" s="21"/>
      <c r="F36" s="21"/>
      <c r="G36" s="213"/>
      <c r="H36" s="21"/>
      <c r="I36" s="21"/>
      <c r="J36" s="21"/>
      <c r="K36" s="188"/>
      <c r="L36" s="19"/>
    </row>
    <row r="37" spans="2:12" s="51" customFormat="1" ht="15" customHeight="1">
      <c r="B37" s="194" t="s">
        <v>71</v>
      </c>
      <c r="C37" s="25"/>
      <c r="D37" s="25"/>
      <c r="E37" s="21"/>
      <c r="F37" s="21"/>
      <c r="G37" s="213"/>
      <c r="H37" s="21"/>
      <c r="I37" s="21"/>
      <c r="J37" s="21"/>
      <c r="K37" s="189"/>
      <c r="L37" s="19"/>
    </row>
    <row r="38" spans="2:12" s="51" customFormat="1" ht="14.25">
      <c r="B38" s="42" t="s">
        <v>72</v>
      </c>
      <c r="C38" s="18"/>
      <c r="D38" s="18"/>
      <c r="E38" s="21">
        <f>'[4]cashflow.'!$U$41+'[4]cashflow.'!$U$42</f>
        <v>146</v>
      </c>
      <c r="F38" s="21"/>
      <c r="G38" s="218">
        <f>'[9]Cashflow0314'!$B$36+'[9]Cashflow0314'!$B$34</f>
        <v>21.74941</v>
      </c>
      <c r="H38" s="21"/>
      <c r="I38" s="21">
        <f>41+2</f>
        <v>43</v>
      </c>
      <c r="J38" s="21">
        <f>'CF12.09'!D45/1000+'CF12.09'!D44/1000</f>
        <v>419.404</v>
      </c>
      <c r="K38" s="188"/>
      <c r="L38" s="19"/>
    </row>
    <row r="39" spans="2:12" s="51" customFormat="1" ht="14.25">
      <c r="B39" s="42" t="s">
        <v>268</v>
      </c>
      <c r="C39" s="19"/>
      <c r="D39" s="19"/>
      <c r="E39" s="21">
        <v>0</v>
      </c>
      <c r="F39" s="21"/>
      <c r="G39" s="218">
        <f>'[9]Cashflow0314'!$B$37</f>
        <v>1543.4852299999984</v>
      </c>
      <c r="H39" s="21"/>
      <c r="I39" s="21">
        <v>-149</v>
      </c>
      <c r="J39" s="21">
        <f>'CF12.09'!D46/1000</f>
        <v>-500.682</v>
      </c>
      <c r="K39" s="188"/>
      <c r="L39" s="19"/>
    </row>
    <row r="40" spans="2:12" s="51" customFormat="1" ht="14.25">
      <c r="B40" s="45" t="s">
        <v>73</v>
      </c>
      <c r="C40" s="19"/>
      <c r="D40" s="19"/>
      <c r="E40" s="21">
        <f>'[4]cashflow.'!$U$45</f>
        <v>-1142</v>
      </c>
      <c r="F40" s="21"/>
      <c r="G40" s="218">
        <f>'[9]Cashflow0314'!$B$39</f>
        <v>-1127.54681</v>
      </c>
      <c r="H40" s="21"/>
      <c r="I40" s="21">
        <v>-2769</v>
      </c>
      <c r="J40" s="21">
        <f>'CF12.09'!D47/1000</f>
        <v>-11636.454</v>
      </c>
      <c r="K40" s="188"/>
      <c r="L40" s="19"/>
    </row>
    <row r="41" spans="2:12" s="51" customFormat="1" ht="13.5" customHeight="1">
      <c r="B41" s="45" t="s">
        <v>265</v>
      </c>
      <c r="C41" s="19"/>
      <c r="D41" s="19"/>
      <c r="E41" s="21"/>
      <c r="F41" s="21"/>
      <c r="G41" s="218">
        <f>'[9]Cashflow0314'!$B$41</f>
        <v>0</v>
      </c>
      <c r="H41" s="21"/>
      <c r="I41" s="21">
        <v>0</v>
      </c>
      <c r="J41" s="21"/>
      <c r="K41" s="188"/>
      <c r="L41" s="19"/>
    </row>
    <row r="42" spans="2:12" s="51" customFormat="1" ht="14.25" hidden="1">
      <c r="B42" s="45" t="s">
        <v>266</v>
      </c>
      <c r="C42" s="19"/>
      <c r="D42" s="19"/>
      <c r="E42" s="21"/>
      <c r="F42" s="21"/>
      <c r="G42" s="218">
        <v>0</v>
      </c>
      <c r="H42" s="21"/>
      <c r="I42" s="21">
        <v>0</v>
      </c>
      <c r="J42" s="21"/>
      <c r="K42" s="188"/>
      <c r="L42" s="19"/>
    </row>
    <row r="43" spans="2:12" s="51" customFormat="1" ht="14.25">
      <c r="B43" s="206" t="s">
        <v>256</v>
      </c>
      <c r="C43" s="19"/>
      <c r="D43" s="19"/>
      <c r="E43" s="21"/>
      <c r="F43" s="21"/>
      <c r="G43" s="218">
        <f>'[9]Cashflow0314'!$B$35</f>
        <v>54.232099999999996</v>
      </c>
      <c r="H43" s="21"/>
      <c r="I43" s="21">
        <v>72</v>
      </c>
      <c r="J43" s="21"/>
      <c r="K43" s="188"/>
      <c r="L43" s="19"/>
    </row>
    <row r="44" spans="2:12" s="51" customFormat="1" ht="15" thickBot="1">
      <c r="B44" s="45"/>
      <c r="C44" s="19"/>
      <c r="D44" s="19"/>
      <c r="E44" s="22"/>
      <c r="F44" s="28"/>
      <c r="G44" s="221"/>
      <c r="H44" s="28"/>
      <c r="I44" s="22"/>
      <c r="J44" s="22"/>
      <c r="K44" s="188"/>
      <c r="L44" s="19"/>
    </row>
    <row r="45" spans="2:13" s="51" customFormat="1" ht="15.75" thickBot="1">
      <c r="B45" s="45" t="s">
        <v>131</v>
      </c>
      <c r="C45" s="18"/>
      <c r="D45" s="18"/>
      <c r="E45" s="50">
        <f>'[4]cashflow.'!$U$48</f>
        <v>-996</v>
      </c>
      <c r="F45" s="110"/>
      <c r="G45" s="222">
        <f>SUM(G38:G44)-1</f>
        <v>490.91992999999826</v>
      </c>
      <c r="H45" s="28"/>
      <c r="I45" s="50">
        <f>SUM(I38:I44)</f>
        <v>-2803</v>
      </c>
      <c r="J45" s="50">
        <f>'CF12.09'!D49/1000</f>
        <v>3761.747</v>
      </c>
      <c r="K45" s="200"/>
      <c r="L45" s="19"/>
      <c r="M45" s="101"/>
    </row>
    <row r="46" spans="2:12" s="51" customFormat="1" ht="14.25">
      <c r="B46" s="193"/>
      <c r="C46" s="19"/>
      <c r="D46" s="19"/>
      <c r="E46" s="21"/>
      <c r="F46" s="21"/>
      <c r="G46" s="213"/>
      <c r="H46" s="21"/>
      <c r="I46" s="21"/>
      <c r="J46" s="21"/>
      <c r="K46" s="188"/>
      <c r="L46" s="19"/>
    </row>
    <row r="47" spans="2:12" s="51" customFormat="1" ht="15" customHeight="1">
      <c r="B47" s="194" t="s">
        <v>75</v>
      </c>
      <c r="C47" s="25"/>
      <c r="D47" s="25"/>
      <c r="E47" s="21"/>
      <c r="F47" s="21"/>
      <c r="G47" s="213"/>
      <c r="H47" s="21"/>
      <c r="I47" s="21"/>
      <c r="J47" s="21"/>
      <c r="K47" s="190"/>
      <c r="L47" s="18"/>
    </row>
    <row r="48" spans="2:12" s="51" customFormat="1" ht="14.25" customHeight="1" hidden="1">
      <c r="B48" s="192" t="s">
        <v>187</v>
      </c>
      <c r="C48" s="18"/>
      <c r="D48" s="18"/>
      <c r="E48" s="21">
        <v>0</v>
      </c>
      <c r="F48" s="21"/>
      <c r="G48" s="213">
        <v>0</v>
      </c>
      <c r="H48" s="21"/>
      <c r="I48" s="21">
        <v>0</v>
      </c>
      <c r="J48" s="21">
        <f>'CF12.09'!D53/1000</f>
        <v>13320</v>
      </c>
      <c r="K48" s="188"/>
      <c r="L48" s="19"/>
    </row>
    <row r="49" spans="2:12" s="51" customFormat="1" ht="14.25" customHeight="1" hidden="1">
      <c r="B49" s="192" t="s">
        <v>188</v>
      </c>
      <c r="C49" s="18"/>
      <c r="D49" s="18"/>
      <c r="E49" s="21">
        <f>'[4]cashflow.'!$U$55</f>
        <v>-161.806</v>
      </c>
      <c r="F49" s="21"/>
      <c r="G49" s="213">
        <v>0</v>
      </c>
      <c r="H49" s="21"/>
      <c r="I49" s="21">
        <v>0</v>
      </c>
      <c r="J49" s="21">
        <f>'CF12.09'!D54/1000</f>
        <v>1785.884</v>
      </c>
      <c r="K49" s="188"/>
      <c r="L49" s="19"/>
    </row>
    <row r="50" spans="2:12" s="51" customFormat="1" ht="14.25" customHeight="1">
      <c r="B50" s="192"/>
      <c r="C50" s="18"/>
      <c r="D50" s="18"/>
      <c r="E50" s="21"/>
      <c r="F50" s="21"/>
      <c r="G50" s="218"/>
      <c r="H50" s="21"/>
      <c r="I50" s="21"/>
      <c r="J50" s="21"/>
      <c r="K50" s="188"/>
      <c r="L50" s="19"/>
    </row>
    <row r="51" spans="2:12" s="51" customFormat="1" ht="14.25" customHeight="1">
      <c r="B51" s="192" t="s">
        <v>273</v>
      </c>
      <c r="C51" s="18"/>
      <c r="D51" s="18"/>
      <c r="E51" s="21">
        <f>'[4]cashflow.'!$U$53</f>
        <v>-15</v>
      </c>
      <c r="F51" s="21"/>
      <c r="G51" s="218">
        <f>'[9]Cashflow0314'!$B$48</f>
        <v>-201.84476999999998</v>
      </c>
      <c r="H51" s="21"/>
      <c r="I51" s="21">
        <v>-225</v>
      </c>
      <c r="J51" s="21">
        <f>'CF12.09'!D56/1000</f>
        <v>-26.016</v>
      </c>
      <c r="K51" s="188"/>
      <c r="L51" s="19"/>
    </row>
    <row r="52" spans="2:12" s="51" customFormat="1" ht="14.25" customHeight="1">
      <c r="B52" s="192" t="s">
        <v>77</v>
      </c>
      <c r="C52" s="18"/>
      <c r="D52" s="18"/>
      <c r="E52" s="21">
        <f>'[4]cashflow.'!$U$54</f>
        <v>-440</v>
      </c>
      <c r="F52" s="21"/>
      <c r="G52" s="218">
        <f>'[9]Cashflow0314'!$B$54</f>
        <v>-71.82981</v>
      </c>
      <c r="H52" s="21"/>
      <c r="I52" s="21">
        <v>-33</v>
      </c>
      <c r="J52" s="21">
        <f>'CF12.09'!D57/1000</f>
        <v>-63.273</v>
      </c>
      <c r="K52" s="188"/>
      <c r="L52" s="19"/>
    </row>
    <row r="53" spans="2:12" s="51" customFormat="1" ht="14.25" customHeight="1">
      <c r="B53" s="192" t="s">
        <v>225</v>
      </c>
      <c r="C53" s="18"/>
      <c r="D53" s="18"/>
      <c r="E53" s="21">
        <f>'[4]cashflow.'!$U$51</f>
        <v>-1007.242</v>
      </c>
      <c r="F53" s="21"/>
      <c r="G53" s="218">
        <f>'[9]Cashflow0314'!$B$50+181</f>
        <v>-2078</v>
      </c>
      <c r="H53" s="28"/>
      <c r="I53" s="28">
        <v>-676</v>
      </c>
      <c r="J53" s="21">
        <f>'CF12.09'!D60/1000</f>
        <v>-2812.839</v>
      </c>
      <c r="K53" s="188"/>
      <c r="L53" s="19"/>
    </row>
    <row r="54" spans="2:12" s="51" customFormat="1" ht="14.25" customHeight="1">
      <c r="B54" s="192" t="s">
        <v>226</v>
      </c>
      <c r="C54" s="18"/>
      <c r="D54" s="18"/>
      <c r="E54" s="21"/>
      <c r="F54" s="21"/>
      <c r="G54" s="218">
        <f>'[9]Cashflow0314'!$B$53</f>
        <v>-1918.5244700000003</v>
      </c>
      <c r="H54" s="28"/>
      <c r="I54" s="28">
        <v>-1442</v>
      </c>
      <c r="J54" s="21"/>
      <c r="K54" s="188"/>
      <c r="L54" s="19"/>
    </row>
    <row r="55" spans="2:12" s="51" customFormat="1" ht="14.25" customHeight="1" hidden="1">
      <c r="B55" s="192" t="s">
        <v>275</v>
      </c>
      <c r="C55" s="18"/>
      <c r="D55" s="18"/>
      <c r="E55" s="21"/>
      <c r="F55" s="21"/>
      <c r="G55" s="218">
        <v>5399</v>
      </c>
      <c r="H55" s="28"/>
      <c r="I55" s="28">
        <v>0</v>
      </c>
      <c r="J55" s="21"/>
      <c r="K55" s="188"/>
      <c r="L55" s="19"/>
    </row>
    <row r="56" spans="2:12" s="51" customFormat="1" ht="14.25" customHeight="1" hidden="1">
      <c r="B56" s="192" t="s">
        <v>274</v>
      </c>
      <c r="C56" s="18"/>
      <c r="D56" s="18"/>
      <c r="E56" s="21"/>
      <c r="F56" s="21"/>
      <c r="G56" s="218">
        <f>'[7]Cashflow1213'!$C$44</f>
        <v>103</v>
      </c>
      <c r="H56" s="28"/>
      <c r="I56" s="28">
        <v>0</v>
      </c>
      <c r="J56" s="21"/>
      <c r="K56" s="188"/>
      <c r="L56" s="19"/>
    </row>
    <row r="57" spans="2:12" s="51" customFormat="1" ht="14.25" customHeight="1" hidden="1" thickBot="1">
      <c r="B57" s="208" t="s">
        <v>249</v>
      </c>
      <c r="C57" s="18"/>
      <c r="D57" s="18"/>
      <c r="E57" s="22"/>
      <c r="F57" s="28"/>
      <c r="G57" s="223">
        <f>'[7]Cashflow1213'!$C$46</f>
        <v>-1598</v>
      </c>
      <c r="H57" s="28"/>
      <c r="I57" s="28">
        <v>0</v>
      </c>
      <c r="J57" s="22"/>
      <c r="K57" s="188"/>
      <c r="L57" s="19"/>
    </row>
    <row r="58" spans="2:12" s="51" customFormat="1" ht="14.25" customHeight="1" thickBot="1">
      <c r="B58" s="208" t="s">
        <v>250</v>
      </c>
      <c r="C58" s="18"/>
      <c r="D58" s="18"/>
      <c r="E58" s="22"/>
      <c r="F58" s="28"/>
      <c r="G58" s="223">
        <v>0</v>
      </c>
      <c r="H58" s="28"/>
      <c r="I58" s="28">
        <v>-32</v>
      </c>
      <c r="J58" s="22"/>
      <c r="K58" s="188"/>
      <c r="L58" s="19"/>
    </row>
    <row r="59" spans="2:12" s="51" customFormat="1" ht="14.25" customHeight="1" thickBot="1">
      <c r="B59" s="208" t="s">
        <v>249</v>
      </c>
      <c r="C59" s="18"/>
      <c r="D59" s="18"/>
      <c r="E59" s="22"/>
      <c r="F59" s="28"/>
      <c r="G59" s="223">
        <v>0</v>
      </c>
      <c r="H59" s="28"/>
      <c r="I59" s="28">
        <v>-1598</v>
      </c>
      <c r="J59" s="22"/>
      <c r="K59" s="188"/>
      <c r="L59" s="19"/>
    </row>
    <row r="60" spans="2:12" s="51" customFormat="1" ht="14.25" customHeight="1" thickBot="1">
      <c r="B60" s="208"/>
      <c r="C60" s="18"/>
      <c r="D60" s="18"/>
      <c r="E60" s="22"/>
      <c r="F60" s="28"/>
      <c r="G60" s="221"/>
      <c r="H60" s="28"/>
      <c r="I60" s="22"/>
      <c r="J60" s="22"/>
      <c r="K60" s="188"/>
      <c r="L60" s="19"/>
    </row>
    <row r="61" spans="3:12" s="51" customFormat="1" ht="18" customHeight="1" thickBot="1">
      <c r="C61" s="20"/>
      <c r="D61" s="20"/>
      <c r="E61" s="53">
        <f>'[4]cashflow.'!$U$63</f>
        <v>-1267.048</v>
      </c>
      <c r="F61" s="168"/>
      <c r="G61" s="224">
        <f>SUM(G51:G54)</f>
        <v>-4270.19905</v>
      </c>
      <c r="H61" s="28"/>
      <c r="I61" s="50">
        <f>SUM(I48:I59)</f>
        <v>-4006</v>
      </c>
      <c r="J61" s="50">
        <f>'CF12.09'!D63/1000</f>
        <v>4006.676</v>
      </c>
      <c r="K61" s="188"/>
      <c r="L61" s="19"/>
    </row>
    <row r="62" spans="2:12" s="51" customFormat="1" ht="14.25">
      <c r="B62" s="45"/>
      <c r="C62" s="18"/>
      <c r="D62" s="18"/>
      <c r="E62" s="100"/>
      <c r="F62" s="100"/>
      <c r="G62" s="215"/>
      <c r="H62" s="28"/>
      <c r="I62" s="28"/>
      <c r="J62" s="100"/>
      <c r="K62" s="188"/>
      <c r="L62" s="19"/>
    </row>
    <row r="63" spans="2:12" s="51" customFormat="1" ht="14.25" customHeight="1">
      <c r="B63" s="194" t="s">
        <v>140</v>
      </c>
      <c r="C63" s="18"/>
      <c r="D63" s="18"/>
      <c r="E63" s="21">
        <f>'[4]cashflow.'!$U$65</f>
        <v>-2883.639399999992</v>
      </c>
      <c r="F63" s="21"/>
      <c r="G63" s="218">
        <f>G34+G45+G61</f>
        <v>-9038.578270000002</v>
      </c>
      <c r="H63" s="28"/>
      <c r="I63" s="218">
        <f>I34+I45+I61</f>
        <v>-4040</v>
      </c>
      <c r="J63" s="21">
        <f>'CF12.09'!D65/1000</f>
        <v>18799.987</v>
      </c>
      <c r="K63" s="28"/>
      <c r="L63" s="19"/>
    </row>
    <row r="64" spans="2:12" s="51" customFormat="1" ht="14.25" customHeight="1">
      <c r="B64" s="194"/>
      <c r="C64" s="18"/>
      <c r="D64" s="18"/>
      <c r="E64" s="21"/>
      <c r="F64" s="21"/>
      <c r="G64" s="213"/>
      <c r="H64" s="28"/>
      <c r="I64" s="28"/>
      <c r="J64" s="21"/>
      <c r="K64" s="28"/>
      <c r="L64" s="19"/>
    </row>
    <row r="65" spans="2:12" s="51" customFormat="1" ht="14.25" customHeight="1">
      <c r="B65" s="194" t="s">
        <v>257</v>
      </c>
      <c r="C65" s="18"/>
      <c r="D65" s="18"/>
      <c r="E65" s="21"/>
      <c r="F65" s="21"/>
      <c r="G65" s="218">
        <v>0</v>
      </c>
      <c r="H65" s="28"/>
      <c r="I65" s="28">
        <v>4</v>
      </c>
      <c r="J65" s="21"/>
      <c r="K65" s="28"/>
      <c r="L65" s="19"/>
    </row>
    <row r="66" spans="2:12" s="51" customFormat="1" ht="14.25">
      <c r="B66" s="192"/>
      <c r="C66" s="19"/>
      <c r="D66" s="19"/>
      <c r="E66" s="21"/>
      <c r="F66" s="21"/>
      <c r="G66" s="213"/>
      <c r="H66" s="28"/>
      <c r="I66" s="28"/>
      <c r="J66" s="21"/>
      <c r="K66" s="188"/>
      <c r="L66" s="19"/>
    </row>
    <row r="67" spans="2:12" s="51" customFormat="1" ht="14.25" customHeight="1" thickBot="1">
      <c r="B67" s="275" t="s">
        <v>100</v>
      </c>
      <c r="C67" s="20"/>
      <c r="D67" s="20"/>
      <c r="E67" s="22">
        <f>'[4]cashflow.'!$U$67</f>
        <v>18800</v>
      </c>
      <c r="F67" s="28"/>
      <c r="G67" s="221">
        <f>'[9]Cashflow0314'!$B$59</f>
        <v>3359.2560000000053</v>
      </c>
      <c r="H67" s="28"/>
      <c r="I67" s="22">
        <v>11028</v>
      </c>
      <c r="J67" s="22">
        <f>'CF12.09'!D68/1000</f>
        <v>0.002</v>
      </c>
      <c r="K67" s="188"/>
      <c r="L67" s="19"/>
    </row>
    <row r="68" spans="2:12" s="51" customFormat="1" ht="14.25">
      <c r="B68" s="275"/>
      <c r="C68" s="20"/>
      <c r="D68" s="20"/>
      <c r="E68" s="100"/>
      <c r="F68" s="100"/>
      <c r="G68" s="225"/>
      <c r="H68" s="28"/>
      <c r="I68" s="28"/>
      <c r="J68" s="100"/>
      <c r="K68" s="188"/>
      <c r="L68" s="19"/>
    </row>
    <row r="69" spans="2:12" s="51" customFormat="1" ht="15.75" thickBot="1">
      <c r="B69" s="275" t="s">
        <v>132</v>
      </c>
      <c r="C69" s="20"/>
      <c r="D69" s="19"/>
      <c r="E69" s="109">
        <f>'[4]cashflow.'!$U$69</f>
        <v>15916.360600000007</v>
      </c>
      <c r="F69" s="110"/>
      <c r="G69" s="226">
        <f>SUM(G63:G67)</f>
        <v>-5679.322269999997</v>
      </c>
      <c r="H69" s="110"/>
      <c r="I69" s="109">
        <f>SUM(I63:I67)</f>
        <v>6992</v>
      </c>
      <c r="J69" s="109">
        <f>'CF12.09'!D70/1000</f>
        <v>18799.989</v>
      </c>
      <c r="K69" s="188"/>
      <c r="L69" s="19"/>
    </row>
    <row r="70" spans="2:11" s="51" customFormat="1" ht="15" thickTop="1">
      <c r="B70" s="275"/>
      <c r="G70" s="216"/>
      <c r="H70" s="28"/>
      <c r="I70" s="28"/>
      <c r="K70" s="177"/>
    </row>
    <row r="71" spans="2:11" s="51" customFormat="1" ht="14.25">
      <c r="B71" s="12"/>
      <c r="G71" s="216"/>
      <c r="H71" s="28"/>
      <c r="I71" s="28"/>
      <c r="K71" s="177"/>
    </row>
    <row r="72" spans="2:11" s="51" customFormat="1" ht="14.25">
      <c r="B72" s="2" t="s">
        <v>96</v>
      </c>
      <c r="G72" s="216"/>
      <c r="H72" s="28"/>
      <c r="I72" s="28"/>
      <c r="K72" s="177"/>
    </row>
    <row r="73" spans="2:11" s="51" customFormat="1" ht="14.25">
      <c r="B73" s="12" t="s">
        <v>244</v>
      </c>
      <c r="E73" s="100">
        <f>'[4]cashflow.'!$N$75</f>
        <v>29350</v>
      </c>
      <c r="F73" s="100"/>
      <c r="G73" s="225">
        <f>'[9]Cashflow0314'!$B$64</f>
        <v>1241.69041</v>
      </c>
      <c r="H73" s="28"/>
      <c r="I73" s="28">
        <v>25654</v>
      </c>
      <c r="J73" s="21">
        <f>'CF12.09'!D83/1000+'CF12.09'!D85/1000</f>
        <v>28249.176</v>
      </c>
      <c r="K73" s="177"/>
    </row>
    <row r="74" spans="2:11" s="51" customFormat="1" ht="14.25">
      <c r="B74" s="12" t="s">
        <v>82</v>
      </c>
      <c r="E74" s="100">
        <f>'[4]cashflow.'!$N$76</f>
        <v>3944</v>
      </c>
      <c r="F74" s="100"/>
      <c r="G74" s="225">
        <f>'[9]Cashflow0314'!$B$65</f>
        <v>15185.41302</v>
      </c>
      <c r="H74" s="28"/>
      <c r="I74" s="28">
        <v>4531</v>
      </c>
      <c r="J74" s="21">
        <f>'CF12.09'!D86/1000</f>
        <v>3199.333</v>
      </c>
      <c r="K74" s="177"/>
    </row>
    <row r="75" spans="2:11" s="51" customFormat="1" ht="15" thickBot="1">
      <c r="B75" s="12" t="s">
        <v>83</v>
      </c>
      <c r="E75" s="120">
        <f>'[4]cashflow.'!$N$77</f>
        <v>-8541</v>
      </c>
      <c r="F75" s="169"/>
      <c r="G75" s="227">
        <f>'[9]Cashflow0314'!$B$68</f>
        <v>-9434</v>
      </c>
      <c r="H75" s="54"/>
      <c r="I75" s="176">
        <v>-8187</v>
      </c>
      <c r="J75" s="22">
        <f>'CF12.09'!D87/1000</f>
        <v>-3959.186</v>
      </c>
      <c r="K75" s="177"/>
    </row>
    <row r="76" spans="2:11" s="51" customFormat="1" ht="14.25">
      <c r="B76" s="12"/>
      <c r="E76" s="100">
        <f>'[4]cashflow.'!$N$78</f>
        <v>24753</v>
      </c>
      <c r="F76" s="100"/>
      <c r="G76" s="225">
        <f>SUM(G73:G75)</f>
        <v>6993.103429999999</v>
      </c>
      <c r="I76" s="100">
        <f>SUM(I73:I75)</f>
        <v>21998</v>
      </c>
      <c r="J76" s="21">
        <f>'CF12.09'!D89/1000</f>
        <v>27489.323</v>
      </c>
      <c r="K76" s="177"/>
    </row>
    <row r="77" spans="2:11" s="51" customFormat="1" ht="14.25">
      <c r="B77" s="43" t="s">
        <v>135</v>
      </c>
      <c r="C77" s="102"/>
      <c r="E77" s="100">
        <f>'[4]cashflow.'!$N$79</f>
        <v>-8843</v>
      </c>
      <c r="F77" s="100"/>
      <c r="G77" s="225">
        <f>'[9]Cashflow0314'!$B$69</f>
        <v>-12672</v>
      </c>
      <c r="I77" s="177">
        <v>-15006</v>
      </c>
      <c r="J77" s="21">
        <f>'CF12.09'!D91/1000</f>
        <v>-8689.334</v>
      </c>
      <c r="K77" s="177"/>
    </row>
    <row r="78" spans="2:11" s="51" customFormat="1" ht="15.75" thickBot="1">
      <c r="B78" s="12"/>
      <c r="E78" s="111">
        <f>'[4]cashflow.'!$N$80</f>
        <v>15910</v>
      </c>
      <c r="F78" s="170"/>
      <c r="G78" s="228">
        <f>SUM(G76:G77)</f>
        <v>-5678.896570000001</v>
      </c>
      <c r="H78" s="110"/>
      <c r="I78" s="175">
        <f>SUM(I76:I77)</f>
        <v>6992</v>
      </c>
      <c r="J78" s="165">
        <f>'CF12.09'!D93/1000</f>
        <v>18799.989</v>
      </c>
      <c r="K78" s="177"/>
    </row>
    <row r="79" spans="7:11" s="51" customFormat="1" ht="15" thickTop="1">
      <c r="G79" s="233"/>
      <c r="H79" s="28"/>
      <c r="I79" s="28"/>
      <c r="K79" s="177"/>
    </row>
    <row r="80" spans="2:9" s="51" customFormat="1" ht="14.25" hidden="1">
      <c r="B80" s="51" t="s">
        <v>123</v>
      </c>
      <c r="E80" s="101"/>
      <c r="F80" s="101"/>
      <c r="G80" s="217"/>
      <c r="H80" s="28"/>
      <c r="I80" s="28"/>
    </row>
    <row r="81" s="51" customFormat="1" ht="12.75" customHeight="1">
      <c r="G81" s="216"/>
    </row>
    <row r="82" spans="2:7" s="51" customFormat="1" ht="16.5">
      <c r="B82" s="121" t="s">
        <v>220</v>
      </c>
      <c r="G82" s="216"/>
    </row>
    <row r="83" spans="2:7" s="51" customFormat="1" ht="16.5">
      <c r="B83" s="121" t="s">
        <v>279</v>
      </c>
      <c r="G83" s="216"/>
    </row>
    <row r="84" spans="2:7" s="51" customFormat="1" ht="16.5">
      <c r="B84" s="174" t="s">
        <v>99</v>
      </c>
      <c r="G84" s="216"/>
    </row>
  </sheetData>
  <sheetProtection/>
  <mergeCells count="6">
    <mergeCell ref="E5:E8"/>
    <mergeCell ref="G5:G8"/>
    <mergeCell ref="I5:I8"/>
    <mergeCell ref="J5:J8"/>
    <mergeCell ref="B67:B68"/>
    <mergeCell ref="B69:B70"/>
  </mergeCells>
  <printOptions/>
  <pageMargins left="0.18" right="0.11" top="0.12" bottom="0.13" header="0.12" footer="0.13"/>
  <pageSetup fitToHeight="1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38">
      <selection activeCell="G61" sqref="G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9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3"/>
    </row>
    <row r="4" spans="2:10" s="51" customFormat="1" ht="15" customHeight="1">
      <c r="B4" s="16" t="s">
        <v>262</v>
      </c>
      <c r="E4" s="39"/>
      <c r="F4" s="39"/>
      <c r="G4" s="184"/>
      <c r="H4" s="39"/>
      <c r="I4" s="39"/>
      <c r="J4" s="39"/>
    </row>
    <row r="5" spans="2:10" s="51" customFormat="1" ht="15" customHeight="1">
      <c r="B5" s="16"/>
      <c r="E5" s="260" t="s">
        <v>208</v>
      </c>
      <c r="F5" s="56"/>
      <c r="G5" s="260" t="s">
        <v>263</v>
      </c>
      <c r="I5" s="260" t="s">
        <v>264</v>
      </c>
      <c r="J5" s="260" t="s">
        <v>209</v>
      </c>
    </row>
    <row r="6" spans="2:10" s="51" customFormat="1" ht="15" customHeight="1">
      <c r="B6" s="16"/>
      <c r="E6" s="260"/>
      <c r="F6" s="56"/>
      <c r="G6" s="260"/>
      <c r="I6" s="274"/>
      <c r="J6" s="274"/>
    </row>
    <row r="7" spans="2:10" s="51" customFormat="1" ht="15" customHeight="1">
      <c r="B7" s="16"/>
      <c r="E7" s="260"/>
      <c r="F7" s="56"/>
      <c r="G7" s="260"/>
      <c r="I7" s="274"/>
      <c r="J7" s="274"/>
    </row>
    <row r="8" spans="2:10" s="51" customFormat="1" ht="45" customHeight="1">
      <c r="B8" s="16"/>
      <c r="E8" s="260"/>
      <c r="F8" s="56"/>
      <c r="G8" s="260"/>
      <c r="I8" s="274"/>
      <c r="J8" s="274"/>
    </row>
    <row r="9" spans="2:10" s="51" customFormat="1" ht="15" customHeight="1">
      <c r="B9" s="16"/>
      <c r="E9" s="58" t="s">
        <v>3</v>
      </c>
      <c r="F9" s="58"/>
      <c r="G9" s="185" t="s">
        <v>3</v>
      </c>
      <c r="I9" s="181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6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12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18">
        <f>'[6]Cashflow0613'!$C$6</f>
        <v>670.6215750020297</v>
      </c>
      <c r="H12" s="21"/>
      <c r="I12" s="21">
        <v>4617</v>
      </c>
      <c r="J12" s="21">
        <f>'CF12.09'!D12/1000</f>
        <v>13768.765</v>
      </c>
      <c r="K12" s="177"/>
    </row>
    <row r="13" spans="2:11" s="51" customFormat="1" ht="14.25">
      <c r="B13" s="20"/>
      <c r="C13" s="19"/>
      <c r="D13" s="19"/>
      <c r="E13" s="21"/>
      <c r="F13" s="21"/>
      <c r="G13" s="218"/>
      <c r="H13" s="21"/>
      <c r="I13" s="21"/>
      <c r="J13" s="21"/>
      <c r="K13" s="177"/>
    </row>
    <row r="14" spans="2:11" s="51" customFormat="1" ht="15" thickBot="1">
      <c r="B14" s="191" t="s">
        <v>111</v>
      </c>
      <c r="C14" s="19"/>
      <c r="D14" s="19"/>
      <c r="E14" s="21" t="e">
        <f>'[4]cashflow.'!$V$17</f>
        <v>#REF!</v>
      </c>
      <c r="F14" s="21"/>
      <c r="G14" s="218">
        <f>'[6]Cashflow0613'!$J$18+1</f>
        <v>1988.8980427333336</v>
      </c>
      <c r="H14" s="21"/>
      <c r="I14" s="22">
        <v>4217</v>
      </c>
      <c r="J14" s="22">
        <f>'CF12.09'!E22/1000</f>
        <v>914.288</v>
      </c>
      <c r="K14" s="177"/>
    </row>
    <row r="15" spans="2:11" s="51" customFormat="1" ht="14.25">
      <c r="B15" s="192"/>
      <c r="C15" s="19"/>
      <c r="D15" s="19"/>
      <c r="E15" s="23"/>
      <c r="F15" s="28"/>
      <c r="G15" s="219"/>
      <c r="H15" s="28"/>
      <c r="I15" s="28"/>
      <c r="J15" s="21"/>
      <c r="K15" s="177"/>
    </row>
    <row r="16" spans="2:11" s="51" customFormat="1" ht="15.75" customHeight="1">
      <c r="B16" s="191" t="s">
        <v>8</v>
      </c>
      <c r="C16" s="19"/>
      <c r="D16" s="19"/>
      <c r="E16" s="49">
        <f>'[4]cashflow.'!$U$21</f>
        <v>3906</v>
      </c>
      <c r="F16" s="49"/>
      <c r="G16" s="220">
        <f>SUM(G12:G14)</f>
        <v>2659.519617735363</v>
      </c>
      <c r="H16" s="21"/>
      <c r="I16" s="49">
        <f>SUM(I12:I14)</f>
        <v>8834</v>
      </c>
      <c r="J16" s="49">
        <f>'CF12.09'!D24/1000</f>
        <v>14683.053</v>
      </c>
      <c r="K16" s="177"/>
    </row>
    <row r="17" spans="2:15" s="51" customFormat="1" ht="14.25">
      <c r="B17" s="193"/>
      <c r="C17" s="24"/>
      <c r="D17" s="24"/>
      <c r="E17" s="21"/>
      <c r="F17" s="21"/>
      <c r="G17" s="218"/>
      <c r="H17" s="21"/>
      <c r="I17" s="21"/>
      <c r="J17" s="21"/>
      <c r="K17" s="188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18" t="e">
        <f>'[1]cashflow.'!F22</f>
        <v>#REF!</v>
      </c>
      <c r="H18" s="21"/>
      <c r="I18" s="21"/>
      <c r="J18" s="21" t="s">
        <v>24</v>
      </c>
      <c r="K18" s="188"/>
      <c r="L18" s="19"/>
    </row>
    <row r="19" spans="2:12" s="51" customFormat="1" ht="14.25" customHeight="1">
      <c r="B19" s="41" t="s">
        <v>228</v>
      </c>
      <c r="C19" s="24"/>
      <c r="D19" s="24"/>
      <c r="E19" s="21">
        <f>'[4]cashflow.'!$U$23</f>
        <v>312.60903000000053</v>
      </c>
      <c r="F19" s="21"/>
      <c r="G19" s="218">
        <f>'[6]Cashflow0613'!$C$20</f>
        <v>-499</v>
      </c>
      <c r="H19" s="21"/>
      <c r="I19" s="21">
        <v>-3194</v>
      </c>
      <c r="J19" s="21">
        <f>'CF12.09'!D26/1000</f>
        <v>1005.378</v>
      </c>
      <c r="K19" s="188"/>
      <c r="L19" s="19"/>
    </row>
    <row r="20" spans="2:12" s="51" customFormat="1" ht="14.25" customHeight="1">
      <c r="B20" s="41" t="s">
        <v>229</v>
      </c>
      <c r="C20" s="24"/>
      <c r="D20" s="24"/>
      <c r="E20" s="21">
        <f>'[4]cashflow.'!$U$24</f>
        <v>-1741.777379999996</v>
      </c>
      <c r="F20" s="21"/>
      <c r="G20" s="218">
        <f>'[6]Cashflow0613'!$C$21</f>
        <v>-6579</v>
      </c>
      <c r="H20" s="21"/>
      <c r="I20" s="21">
        <v>-2962</v>
      </c>
      <c r="J20" s="21">
        <f>'CF12.09'!D27/1000</f>
        <v>2638.376</v>
      </c>
      <c r="K20" s="188"/>
      <c r="L20" s="19"/>
    </row>
    <row r="21" spans="2:12" s="51" customFormat="1" ht="14.25" customHeight="1">
      <c r="B21" s="41" t="s">
        <v>234</v>
      </c>
      <c r="C21" s="24"/>
      <c r="D21" s="24"/>
      <c r="E21" s="21">
        <f>'[4]cashflow.'!$U$25</f>
        <v>-1991.7909599999984</v>
      </c>
      <c r="F21" s="21"/>
      <c r="G21" s="218">
        <f>'[6]Cashflow0613'!$C$22</f>
        <v>-244.1172085712019</v>
      </c>
      <c r="H21" s="21"/>
      <c r="I21" s="21">
        <v>5655</v>
      </c>
      <c r="J21" s="21">
        <f>'CF12.09'!D28/1000</f>
        <v>-3186.2</v>
      </c>
      <c r="K21" s="188"/>
      <c r="L21" s="19"/>
    </row>
    <row r="22" spans="2:12" s="51" customFormat="1" ht="14.25" customHeight="1">
      <c r="B22" s="192" t="s">
        <v>230</v>
      </c>
      <c r="C22" s="24"/>
      <c r="D22" s="24"/>
      <c r="E22" s="21">
        <f>'[4]cashflow.'!$U$26</f>
        <v>770.346</v>
      </c>
      <c r="F22" s="21"/>
      <c r="G22" s="218">
        <f>'[6]Cashflow0613'!$C$23</f>
        <v>4102</v>
      </c>
      <c r="H22" s="21"/>
      <c r="I22" s="21">
        <v>4957</v>
      </c>
      <c r="J22" s="21">
        <f>'CF12.09'!D29/1000</f>
        <v>-1774.921</v>
      </c>
      <c r="K22" s="188"/>
      <c r="L22" s="19"/>
    </row>
    <row r="23" spans="2:12" s="51" customFormat="1" ht="14.25" customHeight="1">
      <c r="B23" s="41" t="s">
        <v>231</v>
      </c>
      <c r="C23" s="20"/>
      <c r="D23" s="20"/>
      <c r="E23" s="21">
        <f>'[4]cashflow.'!$U$27</f>
        <v>8.91215000000011</v>
      </c>
      <c r="F23" s="21"/>
      <c r="G23" s="218">
        <v>0</v>
      </c>
      <c r="H23" s="21"/>
      <c r="I23" s="21">
        <v>-1189</v>
      </c>
      <c r="J23" s="21">
        <f>'CF12.09'!D30/1000</f>
        <v>1373.389</v>
      </c>
      <c r="K23" s="188"/>
      <c r="L23" s="19"/>
    </row>
    <row r="24" spans="2:12" s="51" customFormat="1" ht="14.25" customHeight="1">
      <c r="B24" s="41" t="s">
        <v>235</v>
      </c>
      <c r="C24" s="20"/>
      <c r="D24" s="20"/>
      <c r="E24" s="21">
        <f>'[4]cashflow.'!$U$28</f>
        <v>-230.72018999999818</v>
      </c>
      <c r="F24" s="21"/>
      <c r="G24" s="218">
        <f>'[6]Cashflow0613'!$C$24</f>
        <v>2350.102107030795</v>
      </c>
      <c r="H24" s="21"/>
      <c r="I24" s="21">
        <v>-1718</v>
      </c>
      <c r="J24" s="21">
        <f>'CF12.09'!D31/1000</f>
        <v>189.777</v>
      </c>
      <c r="K24" s="188"/>
      <c r="L24" s="19"/>
    </row>
    <row r="25" spans="2:12" s="51" customFormat="1" ht="14.25" customHeight="1">
      <c r="B25" s="192" t="s">
        <v>233</v>
      </c>
      <c r="C25" s="20"/>
      <c r="D25" s="20"/>
      <c r="E25" s="21"/>
      <c r="F25" s="21"/>
      <c r="G25" s="218">
        <f>'[5]Cashflow0313'!$C$25</f>
        <v>0</v>
      </c>
      <c r="H25" s="21"/>
      <c r="I25" s="21">
        <v>-151</v>
      </c>
      <c r="J25" s="21"/>
      <c r="K25" s="188"/>
      <c r="L25" s="19"/>
    </row>
    <row r="26" spans="2:12" s="51" customFormat="1" ht="15" thickBot="1">
      <c r="B26" s="40" t="s">
        <v>236</v>
      </c>
      <c r="C26" s="20"/>
      <c r="D26" s="20"/>
      <c r="E26" s="22">
        <f>'[4]cashflow.'!$U$29</f>
        <v>-780.1700500000002</v>
      </c>
      <c r="F26" s="28"/>
      <c r="G26" s="221">
        <v>0</v>
      </c>
      <c r="H26" s="28"/>
      <c r="I26" s="22">
        <v>-511</v>
      </c>
      <c r="J26" s="22">
        <f>'CF12.09'!D32/1000</f>
        <v>-271.731</v>
      </c>
      <c r="K26" s="188"/>
      <c r="L26" s="19"/>
    </row>
    <row r="27" spans="2:12" s="51" customFormat="1" ht="14.25">
      <c r="B27" s="193"/>
      <c r="C27" s="24"/>
      <c r="D27" s="24"/>
      <c r="E27" s="21"/>
      <c r="F27" s="21"/>
      <c r="G27" s="218"/>
      <c r="H27" s="21"/>
      <c r="I27" s="21"/>
      <c r="J27" s="21"/>
      <c r="K27" s="188"/>
      <c r="L27" s="19"/>
    </row>
    <row r="28" spans="2:12" s="51" customFormat="1" ht="14.25" customHeight="1">
      <c r="B28" s="191" t="s">
        <v>105</v>
      </c>
      <c r="C28" s="20"/>
      <c r="D28" s="20"/>
      <c r="E28" s="49">
        <f>'[4]cashflow.'!$U$32</f>
        <v>254.40860000000794</v>
      </c>
      <c r="F28" s="49"/>
      <c r="G28" s="220">
        <f>SUM(G19:G27)+G16</f>
        <v>1789.504516194956</v>
      </c>
      <c r="H28" s="21"/>
      <c r="I28" s="49">
        <f>SUM(I16:I26)</f>
        <v>9721</v>
      </c>
      <c r="J28" s="49">
        <f>'CF12.09'!D34/1000</f>
        <v>14657.121</v>
      </c>
      <c r="K28" s="188"/>
      <c r="L28" s="19"/>
    </row>
    <row r="29" spans="2:12" s="51" customFormat="1" ht="14.25" customHeight="1">
      <c r="B29" s="191"/>
      <c r="C29" s="20"/>
      <c r="D29" s="20"/>
      <c r="E29" s="49"/>
      <c r="F29" s="49"/>
      <c r="G29" s="214"/>
      <c r="H29" s="21"/>
      <c r="I29" s="49"/>
      <c r="J29" s="49"/>
      <c r="K29" s="188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18">
        <f>'[6]Cashflow0613'!$C$27</f>
        <v>-112.77533</v>
      </c>
      <c r="H30" s="21"/>
      <c r="I30" s="21">
        <v>-1766</v>
      </c>
      <c r="J30" s="21">
        <f>'CF12.09'!D36/1000</f>
        <v>-134.101</v>
      </c>
      <c r="K30" s="188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18">
        <f>'[6]Cashflow0613'!$C$29</f>
        <v>-1005</v>
      </c>
      <c r="H31" s="28"/>
      <c r="I31" s="28">
        <v>-1451</v>
      </c>
      <c r="J31" s="21">
        <f>'CF12.09'!D37/1000</f>
        <v>-3491.456</v>
      </c>
      <c r="K31" s="188"/>
      <c r="L31" s="19"/>
    </row>
    <row r="32" spans="2:12" s="51" customFormat="1" ht="15" thickBot="1">
      <c r="B32" s="45"/>
      <c r="C32" s="18"/>
      <c r="D32" s="18"/>
      <c r="E32" s="22"/>
      <c r="F32" s="28"/>
      <c r="G32" s="221"/>
      <c r="H32" s="21"/>
      <c r="I32" s="22"/>
      <c r="J32" s="22"/>
      <c r="K32" s="188"/>
      <c r="L32" s="19"/>
    </row>
    <row r="33" spans="2:12" s="51" customFormat="1" ht="15.75" thickBot="1">
      <c r="B33" s="194" t="s">
        <v>44</v>
      </c>
      <c r="C33" s="18"/>
      <c r="D33" s="18"/>
      <c r="E33" s="50">
        <f>'[4]cashflow.'!$U$37</f>
        <v>-620.5913999999921</v>
      </c>
      <c r="F33" s="110"/>
      <c r="G33" s="222">
        <f>SUM(G28:G32)</f>
        <v>671.7291861949561</v>
      </c>
      <c r="H33" s="28"/>
      <c r="I33" s="50">
        <f>SUM(I28:I32)-1</f>
        <v>6503</v>
      </c>
      <c r="J33" s="155">
        <f>'CF12.09'!D39/1000</f>
        <v>11031.564</v>
      </c>
      <c r="K33" s="188"/>
      <c r="L33" s="19"/>
    </row>
    <row r="34" spans="2:12" s="51" customFormat="1" ht="14.25">
      <c r="B34" s="45"/>
      <c r="C34" s="18"/>
      <c r="D34" s="18"/>
      <c r="E34" s="100"/>
      <c r="F34" s="100"/>
      <c r="G34" s="215"/>
      <c r="H34" s="100"/>
      <c r="I34" s="100"/>
      <c r="J34" s="100"/>
      <c r="K34" s="188"/>
      <c r="L34" s="19"/>
    </row>
    <row r="35" spans="2:12" s="51" customFormat="1" ht="14.25">
      <c r="B35" s="45"/>
      <c r="C35" s="19"/>
      <c r="D35" s="19"/>
      <c r="E35" s="21"/>
      <c r="F35" s="21"/>
      <c r="G35" s="213"/>
      <c r="H35" s="21"/>
      <c r="I35" s="21"/>
      <c r="J35" s="21"/>
      <c r="K35" s="188"/>
      <c r="L35" s="19"/>
    </row>
    <row r="36" spans="2:12" s="51" customFormat="1" ht="15" customHeight="1">
      <c r="B36" s="194" t="s">
        <v>71</v>
      </c>
      <c r="C36" s="25"/>
      <c r="D36" s="25"/>
      <c r="E36" s="21"/>
      <c r="F36" s="21"/>
      <c r="G36" s="213"/>
      <c r="H36" s="21"/>
      <c r="I36" s="21"/>
      <c r="J36" s="21"/>
      <c r="K36" s="189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18">
        <f>'[6]Cashflow0613'!$C$36</f>
        <v>79.31141000000001</v>
      </c>
      <c r="H37" s="21"/>
      <c r="I37" s="21">
        <v>590</v>
      </c>
      <c r="J37" s="21">
        <f>'CF12.09'!D45/1000+'CF12.09'!D44/1000</f>
        <v>419.404</v>
      </c>
      <c r="K37" s="188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18">
        <f>'[6]Cashflow0613'!$C$37</f>
        <v>2090.0843300000015</v>
      </c>
      <c r="H38" s="21"/>
      <c r="I38" s="21">
        <v>-489</v>
      </c>
      <c r="J38" s="21">
        <f>'CF12.09'!D46/1000</f>
        <v>-500.682</v>
      </c>
      <c r="K38" s="188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18">
        <f>'[6]Cashflow0613'!$C$38</f>
        <v>-5791.46975</v>
      </c>
      <c r="H39" s="21"/>
      <c r="I39" s="21">
        <v>-9777</v>
      </c>
      <c r="J39" s="21">
        <f>'CF12.09'!D47/1000</f>
        <v>-11636.454</v>
      </c>
      <c r="K39" s="188"/>
      <c r="L39" s="19"/>
    </row>
    <row r="40" spans="2:12" s="51" customFormat="1" ht="14.25">
      <c r="B40" s="45" t="s">
        <v>265</v>
      </c>
      <c r="C40" s="19"/>
      <c r="D40" s="19"/>
      <c r="E40" s="21"/>
      <c r="F40" s="21"/>
      <c r="G40" s="218">
        <v>0</v>
      </c>
      <c r="H40" s="21"/>
      <c r="I40" s="21">
        <v>63</v>
      </c>
      <c r="J40" s="21"/>
      <c r="K40" s="188"/>
      <c r="L40" s="19"/>
    </row>
    <row r="41" spans="2:12" s="51" customFormat="1" ht="14.25">
      <c r="B41" s="45" t="s">
        <v>267</v>
      </c>
      <c r="C41" s="19"/>
      <c r="D41" s="19"/>
      <c r="E41" s="21"/>
      <c r="F41" s="21"/>
      <c r="G41" s="218">
        <f>'[6]Cashflow0613'!$C$39</f>
        <v>5.00786</v>
      </c>
      <c r="H41" s="21"/>
      <c r="I41" s="21">
        <v>0</v>
      </c>
      <c r="J41" s="21"/>
      <c r="K41" s="188"/>
      <c r="L41" s="19"/>
    </row>
    <row r="42" spans="2:12" s="51" customFormat="1" ht="14.25">
      <c r="B42" s="45" t="s">
        <v>266</v>
      </c>
      <c r="C42" s="19"/>
      <c r="D42" s="19"/>
      <c r="E42" s="21"/>
      <c r="F42" s="21"/>
      <c r="G42" s="218">
        <v>0</v>
      </c>
      <c r="H42" s="21"/>
      <c r="I42" s="21">
        <v>-2289</v>
      </c>
      <c r="J42" s="21"/>
      <c r="K42" s="188"/>
      <c r="L42" s="19"/>
    </row>
    <row r="43" spans="2:12" s="51" customFormat="1" ht="14.25">
      <c r="B43" s="206" t="s">
        <v>256</v>
      </c>
      <c r="C43" s="19"/>
      <c r="D43" s="19"/>
      <c r="E43" s="21"/>
      <c r="F43" s="21"/>
      <c r="G43" s="218">
        <f>'[6]Cashflow0613'!$C$35+'[6]Cashflow0613'!$C$34</f>
        <v>140.183</v>
      </c>
      <c r="H43" s="21"/>
      <c r="I43" s="21">
        <v>167</v>
      </c>
      <c r="J43" s="21"/>
      <c r="K43" s="188"/>
      <c r="L43" s="19"/>
    </row>
    <row r="44" spans="2:12" s="51" customFormat="1" ht="15" thickBot="1">
      <c r="B44" s="45"/>
      <c r="C44" s="19"/>
      <c r="D44" s="19"/>
      <c r="E44" s="22"/>
      <c r="F44" s="28"/>
      <c r="G44" s="221"/>
      <c r="H44" s="28"/>
      <c r="I44" s="22"/>
      <c r="J44" s="22"/>
      <c r="K44" s="188"/>
      <c r="L44" s="19"/>
    </row>
    <row r="45" spans="2:13" s="51" customFormat="1" ht="15.75" thickBot="1">
      <c r="B45" s="45" t="s">
        <v>131</v>
      </c>
      <c r="C45" s="18"/>
      <c r="D45" s="18"/>
      <c r="E45" s="50">
        <f>'[4]cashflow.'!$U$48</f>
        <v>-996</v>
      </c>
      <c r="F45" s="110"/>
      <c r="G45" s="222">
        <f>SUM(G37:G44)</f>
        <v>-3476.8831499999987</v>
      </c>
      <c r="H45" s="28"/>
      <c r="I45" s="50">
        <f>SUM(I37:I44)</f>
        <v>-11735</v>
      </c>
      <c r="J45" s="50">
        <f>'CF12.09'!D49/1000</f>
        <v>3761.747</v>
      </c>
      <c r="K45" s="200"/>
      <c r="L45" s="19"/>
      <c r="M45" s="101"/>
    </row>
    <row r="46" spans="2:12" s="51" customFormat="1" ht="14.25">
      <c r="B46" s="193"/>
      <c r="C46" s="19"/>
      <c r="D46" s="19"/>
      <c r="E46" s="21"/>
      <c r="F46" s="21"/>
      <c r="G46" s="218"/>
      <c r="H46" s="21"/>
      <c r="I46" s="21"/>
      <c r="J46" s="21"/>
      <c r="K46" s="188"/>
      <c r="L46" s="19"/>
    </row>
    <row r="47" spans="2:12" s="51" customFormat="1" ht="15" customHeight="1">
      <c r="B47" s="194" t="s">
        <v>75</v>
      </c>
      <c r="C47" s="25"/>
      <c r="D47" s="25"/>
      <c r="E47" s="21"/>
      <c r="F47" s="21"/>
      <c r="G47" s="213"/>
      <c r="H47" s="21"/>
      <c r="I47" s="21"/>
      <c r="J47" s="21"/>
      <c r="K47" s="190"/>
      <c r="L47" s="18"/>
    </row>
    <row r="48" spans="2:12" s="51" customFormat="1" ht="14.25" customHeight="1" hidden="1">
      <c r="B48" s="192" t="s">
        <v>187</v>
      </c>
      <c r="C48" s="18"/>
      <c r="D48" s="18"/>
      <c r="E48" s="21">
        <v>0</v>
      </c>
      <c r="F48" s="21"/>
      <c r="G48" s="213">
        <v>0</v>
      </c>
      <c r="H48" s="21"/>
      <c r="I48" s="21">
        <v>0</v>
      </c>
      <c r="J48" s="21">
        <f>'CF12.09'!D53/1000</f>
        <v>13320</v>
      </c>
      <c r="K48" s="188"/>
      <c r="L48" s="19"/>
    </row>
    <row r="49" spans="2:12" s="51" customFormat="1" ht="14.25" customHeight="1" hidden="1">
      <c r="B49" s="192" t="s">
        <v>188</v>
      </c>
      <c r="C49" s="18"/>
      <c r="D49" s="18"/>
      <c r="E49" s="21">
        <f>'[4]cashflow.'!$U$55</f>
        <v>-161.806</v>
      </c>
      <c r="F49" s="21"/>
      <c r="G49" s="213">
        <v>0</v>
      </c>
      <c r="H49" s="21"/>
      <c r="I49" s="21">
        <v>0</v>
      </c>
      <c r="J49" s="21">
        <f>'CF12.09'!D54/1000</f>
        <v>1785.884</v>
      </c>
      <c r="K49" s="188"/>
      <c r="L49" s="19"/>
    </row>
    <row r="50" spans="2:12" s="51" customFormat="1" ht="14.25" customHeight="1">
      <c r="B50" s="192" t="s">
        <v>9</v>
      </c>
      <c r="C50" s="18"/>
      <c r="D50" s="18"/>
      <c r="E50" s="21">
        <f>'[4]cashflow.'!$U$53</f>
        <v>-15</v>
      </c>
      <c r="F50" s="21"/>
      <c r="G50" s="218">
        <f>'[6]Cashflow0613'!$C$47</f>
        <v>-624.3929699999999</v>
      </c>
      <c r="H50" s="21"/>
      <c r="I50" s="21">
        <v>-655</v>
      </c>
      <c r="J50" s="21">
        <f>'CF12.09'!D56/1000</f>
        <v>-26.016</v>
      </c>
      <c r="K50" s="188"/>
      <c r="L50" s="19"/>
    </row>
    <row r="51" spans="2:12" s="51" customFormat="1" ht="14.25" customHeight="1">
      <c r="B51" s="192" t="s">
        <v>77</v>
      </c>
      <c r="C51" s="18"/>
      <c r="D51" s="18"/>
      <c r="E51" s="21">
        <f>'[4]cashflow.'!$U$54</f>
        <v>-440</v>
      </c>
      <c r="F51" s="21"/>
      <c r="G51" s="218">
        <f>'[6]Cashflow0613'!$C$52</f>
        <v>-67</v>
      </c>
      <c r="H51" s="21"/>
      <c r="I51" s="21">
        <v>-57</v>
      </c>
      <c r="J51" s="21">
        <f>'CF12.09'!D57/1000</f>
        <v>-63.273</v>
      </c>
      <c r="K51" s="188"/>
      <c r="L51" s="19"/>
    </row>
    <row r="52" spans="2:12" s="51" customFormat="1" ht="14.25" customHeight="1">
      <c r="B52" s="192" t="s">
        <v>225</v>
      </c>
      <c r="C52" s="18"/>
      <c r="D52" s="18"/>
      <c r="E52" s="21">
        <f>'[4]cashflow.'!$U$51</f>
        <v>-1007.242</v>
      </c>
      <c r="F52" s="21"/>
      <c r="G52" s="218">
        <f>'[6]Cashflow0613'!$C$49</f>
        <v>-275</v>
      </c>
      <c r="H52" s="28"/>
      <c r="I52" s="28">
        <v>1159</v>
      </c>
      <c r="J52" s="21">
        <f>'CF12.09'!D60/1000</f>
        <v>-2812.839</v>
      </c>
      <c r="K52" s="188"/>
      <c r="L52" s="19"/>
    </row>
    <row r="53" spans="2:12" s="51" customFormat="1" ht="14.25" customHeight="1">
      <c r="B53" s="192" t="s">
        <v>226</v>
      </c>
      <c r="C53" s="18"/>
      <c r="D53" s="18"/>
      <c r="E53" s="21"/>
      <c r="F53" s="21"/>
      <c r="G53" s="218">
        <f>'[6]Cashflow0613'!$C$51</f>
        <v>-3355</v>
      </c>
      <c r="H53" s="28"/>
      <c r="I53" s="28">
        <v>-2405</v>
      </c>
      <c r="J53" s="21"/>
      <c r="K53" s="188"/>
      <c r="L53" s="19"/>
    </row>
    <row r="54" spans="2:12" s="51" customFormat="1" ht="14.25" customHeight="1">
      <c r="B54" s="192" t="s">
        <v>250</v>
      </c>
      <c r="C54" s="18"/>
      <c r="D54" s="18"/>
      <c r="E54" s="21"/>
      <c r="F54" s="21"/>
      <c r="G54" s="218">
        <f>'[6]Cashflow0613'!$C$44</f>
        <v>-32.1853</v>
      </c>
      <c r="H54" s="28"/>
      <c r="I54" s="28">
        <v>0</v>
      </c>
      <c r="J54" s="21"/>
      <c r="K54" s="188"/>
      <c r="L54" s="19"/>
    </row>
    <row r="55" spans="2:12" s="51" customFormat="1" ht="14.25" customHeight="1" thickBot="1">
      <c r="B55" s="208" t="s">
        <v>249</v>
      </c>
      <c r="C55" s="18"/>
      <c r="D55" s="18"/>
      <c r="E55" s="22"/>
      <c r="F55" s="28"/>
      <c r="G55" s="223">
        <f>'[6]Cashflow0613'!$C$46</f>
        <v>-1598</v>
      </c>
      <c r="H55" s="28"/>
      <c r="I55" s="28">
        <v>0</v>
      </c>
      <c r="J55" s="22"/>
      <c r="K55" s="188"/>
      <c r="L55" s="19"/>
    </row>
    <row r="56" spans="2:12" s="51" customFormat="1" ht="14.25" customHeight="1" thickBot="1">
      <c r="B56" s="208"/>
      <c r="C56" s="18"/>
      <c r="D56" s="18"/>
      <c r="E56" s="22"/>
      <c r="F56" s="28"/>
      <c r="G56" s="221"/>
      <c r="H56" s="28"/>
      <c r="I56" s="22"/>
      <c r="J56" s="22"/>
      <c r="K56" s="188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68"/>
      <c r="G57" s="224">
        <f>SUM(G48:G55)+1</f>
        <v>-5950.57827</v>
      </c>
      <c r="H57" s="28"/>
      <c r="I57" s="50">
        <f>SUM(I48:I55)</f>
        <v>-1958</v>
      </c>
      <c r="J57" s="50">
        <f>'CF12.09'!D63/1000</f>
        <v>4006.676</v>
      </c>
      <c r="K57" s="188"/>
      <c r="L57" s="19"/>
    </row>
    <row r="58" spans="2:12" s="51" customFormat="1" ht="14.25">
      <c r="B58" s="45"/>
      <c r="C58" s="18"/>
      <c r="D58" s="18"/>
      <c r="E58" s="100"/>
      <c r="F58" s="100"/>
      <c r="G58" s="215"/>
      <c r="H58" s="28"/>
      <c r="I58" s="28"/>
      <c r="J58" s="100"/>
      <c r="K58" s="188"/>
      <c r="L58" s="19"/>
    </row>
    <row r="59" spans="2:12" s="51" customFormat="1" ht="14.25" customHeight="1">
      <c r="B59" s="194" t="s">
        <v>140</v>
      </c>
      <c r="C59" s="18"/>
      <c r="D59" s="18"/>
      <c r="E59" s="21">
        <f>'[4]cashflow.'!$U$65</f>
        <v>-2883.639399999992</v>
      </c>
      <c r="F59" s="21"/>
      <c r="G59" s="218">
        <f>G33+G45+G57</f>
        <v>-8755.732233805044</v>
      </c>
      <c r="H59" s="28"/>
      <c r="I59" s="28">
        <f>I33+I45+I57</f>
        <v>-7190</v>
      </c>
      <c r="J59" s="21">
        <f>'CF12.09'!D65/1000</f>
        <v>18799.987</v>
      </c>
      <c r="K59" s="28"/>
      <c r="L59" s="19"/>
    </row>
    <row r="60" spans="2:12" s="51" customFormat="1" ht="14.25" customHeight="1">
      <c r="B60" s="194"/>
      <c r="C60" s="18"/>
      <c r="D60" s="18"/>
      <c r="E60" s="21"/>
      <c r="F60" s="21"/>
      <c r="G60" s="218"/>
      <c r="H60" s="28"/>
      <c r="I60" s="28"/>
      <c r="J60" s="21"/>
      <c r="K60" s="28"/>
      <c r="L60" s="19"/>
    </row>
    <row r="61" spans="2:12" s="51" customFormat="1" ht="14.25" customHeight="1">
      <c r="B61" s="194" t="s">
        <v>257</v>
      </c>
      <c r="C61" s="18"/>
      <c r="D61" s="18"/>
      <c r="E61" s="21"/>
      <c r="F61" s="21"/>
      <c r="G61" s="218">
        <f>'[6]Cashflow0613'!$C$58</f>
        <v>5.426444559994707</v>
      </c>
      <c r="H61" s="28"/>
      <c r="I61" s="28">
        <v>0</v>
      </c>
      <c r="J61" s="21"/>
      <c r="K61" s="28"/>
      <c r="L61" s="19"/>
    </row>
    <row r="62" spans="2:12" s="51" customFormat="1" ht="14.25">
      <c r="B62" s="192"/>
      <c r="C62" s="19"/>
      <c r="D62" s="19"/>
      <c r="E62" s="21"/>
      <c r="F62" s="21"/>
      <c r="G62" s="218"/>
      <c r="H62" s="28"/>
      <c r="I62" s="28"/>
      <c r="J62" s="21"/>
      <c r="K62" s="188"/>
      <c r="L62" s="19"/>
    </row>
    <row r="63" spans="2:12" s="51" customFormat="1" ht="14.25" customHeight="1" thickBot="1">
      <c r="B63" s="275" t="s">
        <v>100</v>
      </c>
      <c r="C63" s="20"/>
      <c r="D63" s="20"/>
      <c r="E63" s="22">
        <f>'[4]cashflow.'!$U$67</f>
        <v>18800</v>
      </c>
      <c r="F63" s="28"/>
      <c r="G63" s="221">
        <f>'[5]Cashflow0313'!$C$57</f>
        <v>11027.686000000003</v>
      </c>
      <c r="H63" s="28"/>
      <c r="I63" s="22">
        <v>32961</v>
      </c>
      <c r="J63" s="22">
        <f>'CF12.09'!D68/1000</f>
        <v>0.002</v>
      </c>
      <c r="K63" s="188"/>
      <c r="L63" s="19"/>
    </row>
    <row r="64" spans="2:12" s="51" customFormat="1" ht="14.25">
      <c r="B64" s="275"/>
      <c r="C64" s="20"/>
      <c r="D64" s="20"/>
      <c r="E64" s="100"/>
      <c r="F64" s="100"/>
      <c r="G64" s="225"/>
      <c r="H64" s="28"/>
      <c r="I64" s="28"/>
      <c r="J64" s="100"/>
      <c r="K64" s="188"/>
      <c r="L64" s="19"/>
    </row>
    <row r="65" spans="2:12" s="51" customFormat="1" ht="15.75" thickBot="1">
      <c r="B65" s="275" t="s">
        <v>132</v>
      </c>
      <c r="C65" s="20"/>
      <c r="D65" s="19"/>
      <c r="E65" s="109">
        <f>'[4]cashflow.'!$U$69</f>
        <v>15916.360600000007</v>
      </c>
      <c r="F65" s="110"/>
      <c r="G65" s="226">
        <f>SUM(G59:G63)</f>
        <v>2277.3802107549545</v>
      </c>
      <c r="H65" s="110"/>
      <c r="I65" s="109">
        <f>SUM(I59:I63)</f>
        <v>25771</v>
      </c>
      <c r="J65" s="109">
        <f>'CF12.09'!D70/1000</f>
        <v>18799.989</v>
      </c>
      <c r="K65" s="188"/>
      <c r="L65" s="19"/>
    </row>
    <row r="66" spans="2:11" s="51" customFormat="1" ht="15" thickTop="1">
      <c r="B66" s="275"/>
      <c r="G66" s="216"/>
      <c r="H66" s="28"/>
      <c r="I66" s="28"/>
      <c r="K66" s="177"/>
    </row>
    <row r="67" spans="2:11" s="51" customFormat="1" ht="14.25">
      <c r="B67" s="12"/>
      <c r="G67" s="216"/>
      <c r="H67" s="28"/>
      <c r="I67" s="28"/>
      <c r="K67" s="177"/>
    </row>
    <row r="68" spans="2:11" s="51" customFormat="1" ht="14.25">
      <c r="B68" s="2" t="s">
        <v>96</v>
      </c>
      <c r="G68" s="216"/>
      <c r="H68" s="28"/>
      <c r="I68" s="28"/>
      <c r="K68" s="177"/>
    </row>
    <row r="69" spans="2:11" s="51" customFormat="1" ht="14.25">
      <c r="B69" s="12" t="s">
        <v>244</v>
      </c>
      <c r="E69" s="100">
        <f>'[4]cashflow.'!$N$75</f>
        <v>29350</v>
      </c>
      <c r="F69" s="100"/>
      <c r="G69" s="225">
        <f>'[6]Cashflow0613'!$C$62</f>
        <v>7811</v>
      </c>
      <c r="H69" s="28"/>
      <c r="I69" s="28">
        <v>31451</v>
      </c>
      <c r="J69" s="21">
        <f>'CF12.09'!D83/1000+'CF12.09'!D85/1000</f>
        <v>28249.176</v>
      </c>
      <c r="K69" s="177"/>
    </row>
    <row r="70" spans="2:11" s="51" customFormat="1" ht="14.25">
      <c r="B70" s="12" t="s">
        <v>82</v>
      </c>
      <c r="E70" s="100">
        <f>'[4]cashflow.'!$N$76</f>
        <v>3944</v>
      </c>
      <c r="F70" s="100"/>
      <c r="G70" s="225">
        <f>'[6]Cashflow0613'!$C$63</f>
        <v>16318</v>
      </c>
      <c r="H70" s="28"/>
      <c r="I70" s="28">
        <v>10937</v>
      </c>
      <c r="J70" s="21">
        <f>'CF12.09'!D86/1000</f>
        <v>3199.333</v>
      </c>
      <c r="K70" s="177"/>
    </row>
    <row r="71" spans="2:11" s="51" customFormat="1" ht="15" thickBot="1">
      <c r="B71" s="12" t="s">
        <v>83</v>
      </c>
      <c r="E71" s="120">
        <f>'[4]cashflow.'!$N$77</f>
        <v>-8541</v>
      </c>
      <c r="F71" s="169"/>
      <c r="G71" s="227">
        <f>'[6]Cashflow0613'!$C$66</f>
        <v>-9086</v>
      </c>
      <c r="H71" s="54"/>
      <c r="I71" s="176">
        <v>-3669</v>
      </c>
      <c r="J71" s="22">
        <f>'CF12.09'!D87/1000</f>
        <v>-3959.186</v>
      </c>
      <c r="K71" s="177"/>
    </row>
    <row r="72" spans="2:11" s="51" customFormat="1" ht="14.25">
      <c r="B72" s="12"/>
      <c r="E72" s="100">
        <f>'[4]cashflow.'!$N$78</f>
        <v>24753</v>
      </c>
      <c r="F72" s="100"/>
      <c r="G72" s="225">
        <f>SUM(G69:G71)</f>
        <v>15043</v>
      </c>
      <c r="I72" s="100">
        <f>SUM(I69:I71)</f>
        <v>38719</v>
      </c>
      <c r="J72" s="21">
        <f>'CF12.09'!D89/1000</f>
        <v>27489.323</v>
      </c>
      <c r="K72" s="177"/>
    </row>
    <row r="73" spans="2:11" s="51" customFormat="1" ht="14.25">
      <c r="B73" s="43" t="s">
        <v>135</v>
      </c>
      <c r="C73" s="102"/>
      <c r="E73" s="100">
        <f>'[4]cashflow.'!$N$79</f>
        <v>-8843</v>
      </c>
      <c r="F73" s="100"/>
      <c r="G73" s="225">
        <f>'[6]Cashflow0613'!$C$67</f>
        <v>-12766</v>
      </c>
      <c r="I73" s="177">
        <v>-12948</v>
      </c>
      <c r="J73" s="21">
        <f>'CF12.09'!D91/1000</f>
        <v>-8689.334</v>
      </c>
      <c r="K73" s="177"/>
    </row>
    <row r="74" spans="2:11" s="51" customFormat="1" ht="15.75" thickBot="1">
      <c r="B74" s="12"/>
      <c r="E74" s="111">
        <f>'[4]cashflow.'!$N$80</f>
        <v>15910</v>
      </c>
      <c r="F74" s="170"/>
      <c r="G74" s="228">
        <f>SUM(G72:G73)</f>
        <v>2277</v>
      </c>
      <c r="H74" s="110"/>
      <c r="I74" s="175">
        <f>SUM(I72:I73)</f>
        <v>25771</v>
      </c>
      <c r="J74" s="165">
        <f>'CF12.09'!D93/1000</f>
        <v>18799.989</v>
      </c>
      <c r="K74" s="177"/>
    </row>
    <row r="75" spans="7:11" s="51" customFormat="1" ht="15" thickTop="1">
      <c r="G75" s="217"/>
      <c r="H75" s="28"/>
      <c r="I75" s="28"/>
      <c r="K75" s="177"/>
    </row>
    <row r="76" spans="2:9" s="51" customFormat="1" ht="14.25" hidden="1">
      <c r="B76" s="51" t="s">
        <v>123</v>
      </c>
      <c r="E76" s="101"/>
      <c r="F76" s="101"/>
      <c r="G76" s="187"/>
      <c r="H76" s="28"/>
      <c r="I76" s="28"/>
    </row>
    <row r="77" s="51" customFormat="1" ht="12.75" customHeight="1">
      <c r="G77" s="183"/>
    </row>
    <row r="78" spans="2:7" s="51" customFormat="1" ht="16.5">
      <c r="B78" s="121" t="s">
        <v>220</v>
      </c>
      <c r="G78" s="183"/>
    </row>
    <row r="79" spans="2:7" s="51" customFormat="1" ht="16.5">
      <c r="B79" s="121" t="s">
        <v>255</v>
      </c>
      <c r="G79" s="183"/>
    </row>
    <row r="80" spans="2:7" s="51" customFormat="1" ht="16.5">
      <c r="B80" s="174" t="s">
        <v>99</v>
      </c>
      <c r="G80" s="183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 </cp:lastModifiedBy>
  <cp:lastPrinted>2014-05-16T09:10:18Z</cp:lastPrinted>
  <dcterms:created xsi:type="dcterms:W3CDTF">2002-11-05T00:02:16Z</dcterms:created>
  <dcterms:modified xsi:type="dcterms:W3CDTF">2014-05-20T02:51:52Z</dcterms:modified>
  <cp:category/>
  <cp:version/>
  <cp:contentType/>
  <cp:contentStatus/>
</cp:coreProperties>
</file>